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'cashflow'!$G$14:$G$16</definedName>
    <definedName name="_xlnm.Print_Area" localSheetId="7">'cashflow'!$B$1:$K$78</definedName>
    <definedName name="_xlnm.Print_Area" localSheetId="3">'equity statement'!$A$1:$I$32</definedName>
    <definedName name="_xlnm.Print_Area" localSheetId="0">'Income statement'!$A$1:$M$65</definedName>
  </definedNames>
  <calcPr fullCalcOnLoad="1"/>
</workbook>
</file>

<file path=xl/sharedStrings.xml><?xml version="1.0" encoding="utf-8"?>
<sst xmlns="http://schemas.openxmlformats.org/spreadsheetml/2006/main" count="425" uniqueCount="270">
  <si>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</si>
  <si>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</si>
  <si>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</si>
  <si>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</si>
  <si>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</si>
  <si>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</si>
  <si>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</si>
  <si>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</si>
  <si>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</si>
  <si>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</si>
  <si>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</si>
  <si>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</si>
  <si>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</si>
  <si>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</si>
  <si>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</si>
  <si>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</si>
  <si>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</si>
  <si>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</si>
  <si>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</si>
  <si>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</si>
  <si>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</si>
  <si>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</si>
  <si>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</si>
  <si>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</si>
  <si>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</si>
  <si>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</si>
  <si>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</si>
  <si>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</si>
  <si>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</si>
  <si>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</si>
  <si>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</si>
  <si>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</si>
  <si>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</si>
  <si>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</si>
  <si>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</si>
  <si>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</si>
  <si>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</si>
  <si>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</si>
  <si>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</si>
  <si>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</si>
  <si>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</si>
  <si>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</si>
  <si>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</si>
  <si>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</si>
  <si>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</si>
  <si>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</si>
  <si>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</si>
  <si>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</si>
  <si>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</si>
  <si>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</si>
  <si>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</si>
  <si>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</si>
  <si>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</si>
  <si>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</si>
  <si>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</si>
  <si>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</si>
  <si>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</si>
  <si>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</si>
  <si>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</si>
  <si>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</si>
  <si>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</si>
  <si>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</si>
  <si>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</si>
  <si>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</si>
  <si>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</si>
  <si>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</si>
  <si>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</si>
  <si>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</si>
  <si>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</si>
  <si>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</si>
  <si>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</si>
  <si>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</si>
  <si>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</si>
  <si>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</si>
  <si>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</si>
  <si>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</si>
  <si>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</si>
  <si>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</si>
  <si>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</si>
  <si>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</si>
  <si>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</si>
  <si>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</si>
  <si>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</si>
  <si>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</si>
  <si>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</si>
  <si>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</si>
  <si>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</si>
  <si>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</si>
  <si>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</si>
  <si>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</si>
  <si>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</si>
  <si>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</si>
  <si>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</si>
  <si>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</si>
  <si>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</si>
  <si>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</si>
  <si>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</si>
  <si>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</si>
  <si>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</si>
  <si>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</si>
  <si>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</si>
  <si>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</si>
  <si>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</si>
  <si>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</si>
  <si>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</si>
  <si>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</si>
  <si>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</si>
  <si>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</si>
  <si>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</si>
  <si>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</si>
  <si>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</si>
  <si>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</si>
  <si>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</si>
  <si>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</si>
  <si>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</si>
  <si>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</si>
  <si>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</si>
  <si>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</si>
  <si>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</si>
  <si>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</si>
  <si>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</si>
  <si>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</si>
  <si>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</si>
  <si>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</si>
  <si>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</si>
  <si>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</si>
  <si>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</si>
  <si>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</si>
  <si>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</si>
  <si>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</si>
  <si>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</si>
  <si>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</si>
  <si>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</si>
  <si>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</si>
  <si>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</si>
  <si>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</si>
  <si>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</si>
  <si>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</si>
  <si>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</si>
  <si>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</si>
  <si>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</si>
  <si>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</si>
  <si>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</si>
  <si>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</si>
  <si>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</si>
  <si>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</si>
  <si>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</si>
  <si>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</si>
  <si>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</si>
  <si>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</si>
  <si>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</si>
  <si>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</si>
  <si>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</si>
  <si>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</si>
  <si>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</si>
  <si>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</si>
  <si>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</si>
  <si>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</si>
  <si>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</si>
  <si>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</si>
  <si>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</si>
  <si>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</si>
  <si>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</si>
  <si>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</si>
  <si>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</si>
  <si>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</si>
  <si>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</si>
  <si>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</si>
  <si>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</si>
  <si>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</si>
  <si>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</si>
  <si>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</si>
  <si>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</si>
  <si>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</si>
  <si>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</si>
  <si>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</si>
  <si>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</si>
  <si>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</si>
  <si>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</si>
  <si>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</si>
  <si>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</si>
  <si>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</si>
  <si>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</si>
  <si>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</si>
  <si>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</si>
  <si>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</si>
  <si>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</si>
  <si>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</si>
  <si>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</si>
  <si>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</si>
  <si>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</si>
  <si>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</si>
  <si>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</si>
  <si>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</si>
  <si>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</si>
  <si>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</si>
  <si>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</si>
  <si>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</si>
  <si>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</si>
  <si>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</si>
  <si>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</si>
  <si>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</si>
  <si>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</si>
  <si>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</si>
  <si>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</si>
  <si>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</si>
  <si>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</si>
  <si>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</si>
  <si>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</si>
  <si>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</si>
  <si>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</si>
  <si>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</si>
  <si>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</si>
  <si>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</si>
  <si>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</si>
  <si>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</si>
  <si>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</si>
  <si>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</si>
  <si>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</si>
  <si>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</si>
  <si>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</si>
  <si>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</si>
  <si>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</si>
  <si>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</si>
  <si>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</si>
  <si>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Profit attributable to: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</si>
  <si>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</si>
  <si>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</si>
  <si>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</si>
  <si>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</si>
  <si>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</si>
  <si>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</si>
  <si>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</si>
  <si>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</si>
  <si>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</si>
  <si>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</si>
  <si>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</si>
  <si>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Amount due to contract customers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</si>
  <si>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</si>
  <si>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</si>
  <si>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</si>
  <si>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</si>
  <si>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</si>
  <si>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divided  by the number of ordinary shares in issue as at Balance Sheet date.</t>
  </si>
  <si>
    <t>31 December 2011</t>
  </si>
  <si>
    <t>Interest received</t>
  </si>
  <si>
    <t>31 March 2012</t>
  </si>
  <si>
    <t>31 March 2011</t>
  </si>
  <si>
    <t>Balance as at 1 Jan 2012</t>
  </si>
  <si>
    <t xml:space="preserve"> for the financial year ended 31 December 2011 and the accompanying notes attached to this interim financial report.</t>
  </si>
  <si>
    <t>statements for the financial year ended 31 December 2011 and the accompanying notes attached to this interim financial report.</t>
  </si>
  <si>
    <t>Intangible asset</t>
  </si>
  <si>
    <t>Retention sum</t>
  </si>
  <si>
    <t>Amount due by customers for contract works</t>
  </si>
  <si>
    <t>Financial assets held for trading</t>
  </si>
  <si>
    <t>Fixed deposits with licensed banks</t>
  </si>
  <si>
    <t>Non- current asset held for sale</t>
  </si>
  <si>
    <t>Warrant Reserve</t>
  </si>
  <si>
    <t>Short term investment and fixed deposits with licensed banks</t>
  </si>
  <si>
    <t>FOR THE SECOND QUARTER ENDED 30 JUNE 2012</t>
  </si>
  <si>
    <t>30 June 2011</t>
  </si>
  <si>
    <t>30 June 2012</t>
  </si>
  <si>
    <t>AS AT 30 JUNE 2012</t>
  </si>
  <si>
    <t>Balance as at 30 June 2012</t>
  </si>
  <si>
    <t>FOR THE FINANCIAL YEAR ENDED 30 JUNE 2012</t>
  </si>
  <si>
    <t>Period Ended                             30 June 2012</t>
  </si>
  <si>
    <t>Preceding year Corresponding                Period                                         30 June 2011</t>
  </si>
  <si>
    <t>Proceeds from Rights Issue</t>
  </si>
  <si>
    <t>Proceeds from disposal of property, plant and equipment</t>
  </si>
  <si>
    <t>Acquisition of intangible assets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</si>
</sst>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</numFmts>
  <fonts count="8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0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3" fillId="0" borderId="0" xfId="0" applyFont="1" applyAlignment="1">
      <alignment vertical="top" wrapText="1"/>
    </xf>
    <xf numFmtId="0" fontId="73" fillId="0" borderId="0" xfId="0" applyFont="1" applyAlignment="1">
      <alignment horizontal="justify" vertical="top" wrapText="1"/>
    </xf>
    <xf numFmtId="0" fontId="73" fillId="0" borderId="0" xfId="0" applyFont="1" applyAlignment="1">
      <alignment horizontal="left" vertical="top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5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7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0" xfId="42" applyNumberFormat="1" applyFont="1" applyAlignment="1">
      <alignment horizontal="center" vertical="center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72" fontId="6" fillId="34" borderId="0" xfId="42" applyNumberFormat="1" applyFont="1" applyFill="1" applyAlignment="1">
      <alignment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172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1" applyFont="1" applyAlignment="1">
      <alignment/>
    </xf>
    <xf numFmtId="0" fontId="54" fillId="0" borderId="0" xfId="57">
      <alignment/>
      <protection/>
    </xf>
    <xf numFmtId="0" fontId="81" fillId="0" borderId="0" xfId="57" applyFont="1">
      <alignment/>
      <protection/>
    </xf>
    <xf numFmtId="0" fontId="81" fillId="0" borderId="0" xfId="57" applyFont="1" applyAlignment="1">
      <alignment horizontal="right" vertical="top" wrapText="1"/>
      <protection/>
    </xf>
    <xf numFmtId="0" fontId="79" fillId="0" borderId="0" xfId="57" applyFont="1" applyAlignment="1">
      <alignment horizontal="right" vertical="top" wrapText="1"/>
      <protection/>
    </xf>
    <xf numFmtId="0" fontId="82" fillId="0" borderId="0" xfId="57" applyFont="1" applyAlignment="1">
      <alignment wrapText="1"/>
      <protection/>
    </xf>
    <xf numFmtId="0" fontId="79" fillId="0" borderId="0" xfId="57" applyFont="1">
      <alignment/>
      <protection/>
    </xf>
    <xf numFmtId="0" fontId="81" fillId="0" borderId="0" xfId="57" applyFont="1" applyAlignment="1">
      <alignment vertical="top" wrapText="1"/>
      <protection/>
    </xf>
    <xf numFmtId="0" fontId="79" fillId="0" borderId="0" xfId="57" applyFont="1" applyAlignment="1">
      <alignment vertical="top" wrapText="1"/>
      <protection/>
    </xf>
    <xf numFmtId="3" fontId="79" fillId="0" borderId="0" xfId="57" applyNumberFormat="1" applyFont="1" applyAlignment="1">
      <alignment horizontal="right" vertical="top" wrapText="1"/>
      <protection/>
    </xf>
    <xf numFmtId="3" fontId="79" fillId="0" borderId="10" xfId="57" applyNumberFormat="1" applyFont="1" applyBorder="1" applyAlignment="1">
      <alignment horizontal="right" vertical="top" wrapText="1"/>
      <protection/>
    </xf>
    <xf numFmtId="3" fontId="79" fillId="0" borderId="12" xfId="57" applyNumberFormat="1" applyFont="1" applyBorder="1" applyAlignment="1">
      <alignment horizontal="right" vertical="top" wrapText="1"/>
      <protection/>
    </xf>
    <xf numFmtId="0" fontId="82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/>
    </xf>
    <xf numFmtId="172" fontId="83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172" fontId="4" fillId="0" borderId="0" xfId="42" applyNumberFormat="1" applyFont="1" applyFill="1" applyAlignment="1">
      <alignment horizontal="center" vertical="center"/>
    </xf>
    <xf numFmtId="0" fontId="84" fillId="0" borderId="0" xfId="0" applyFont="1" applyAlignment="1">
      <alignment vertical="top"/>
    </xf>
    <xf numFmtId="37" fontId="5" fillId="0" borderId="0" xfId="0" applyNumberFormat="1" applyFont="1" applyFill="1" applyAlignment="1">
      <alignment horizontal="right" vertical="top" wrapText="1"/>
    </xf>
    <xf numFmtId="41" fontId="14" fillId="0" borderId="10" xfId="0" applyNumberFormat="1" applyFont="1" applyBorder="1" applyAlignment="1">
      <alignment horizontal="right"/>
    </xf>
    <xf numFmtId="43" fontId="14" fillId="0" borderId="0" xfId="0" applyNumberFormat="1" applyFont="1" applyAlignment="1">
      <alignment/>
    </xf>
    <xf numFmtId="172" fontId="14" fillId="0" borderId="0" xfId="42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72" fontId="83" fillId="0" borderId="0" xfId="42" applyNumberFormat="1" applyFont="1" applyFill="1" applyAlignment="1">
      <alignment horizontal="right" vertical="top" wrapText="1"/>
    </xf>
    <xf numFmtId="172" fontId="85" fillId="0" borderId="0" xfId="42" applyNumberFormat="1" applyFont="1" applyFill="1" applyAlignment="1">
      <alignment horizontal="right" vertical="top" wrapText="1"/>
    </xf>
    <xf numFmtId="0" fontId="83" fillId="0" borderId="0" xfId="0" applyFont="1" applyFill="1" applyAlignment="1">
      <alignment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0" fontId="0" fillId="0" borderId="0" xfId="58" applyFont="1" applyFill="1" applyAlignment="1">
      <alignment horizontal="left" vertical="top" wrapText="1"/>
      <protection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Alignment="1">
      <alignment/>
    </xf>
    <xf numFmtId="172" fontId="4" fillId="0" borderId="10" xfId="42" applyNumberFormat="1" applyFont="1" applyFill="1" applyBorder="1" applyAlignment="1">
      <alignment vertical="top" wrapText="1"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RB%20Consol%20%2003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1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2\HRB%20June%2012\HRB%20Consol%20%2006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7">
          <cell r="N97">
            <v>1549.57636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2">
          <cell r="U52">
            <v>-6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115">
          <cell r="T115">
            <v>128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3.12"/>
      <sheetName val="CBS03.11(RM)"/>
      <sheetName val="CBS12.11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79">
          <cell r="W79">
            <v>32961.051999999996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2">
        <row r="12">
          <cell r="T12">
            <v>43594.35974</v>
          </cell>
        </row>
        <row r="13">
          <cell r="T13">
            <v>-25734.977600000002</v>
          </cell>
        </row>
        <row r="16">
          <cell r="T16">
            <v>841.0798299999999</v>
          </cell>
        </row>
        <row r="18">
          <cell r="T18">
            <v>-9982.287059999997</v>
          </cell>
        </row>
        <row r="19">
          <cell r="T19">
            <v>-1292.82999</v>
          </cell>
        </row>
        <row r="20">
          <cell r="T20">
            <v>-1463.86931</v>
          </cell>
        </row>
        <row r="25">
          <cell r="T25">
            <v>-1344.5541299999998</v>
          </cell>
        </row>
        <row r="27">
          <cell r="T27">
            <v>-1110.494</v>
          </cell>
        </row>
        <row r="29">
          <cell r="T29">
            <v>16.13915028</v>
          </cell>
        </row>
        <row r="31">
          <cell r="T31">
            <v>3522.5666302800005</v>
          </cell>
        </row>
        <row r="67">
          <cell r="T67">
            <v>58750.25246</v>
          </cell>
        </row>
        <row r="68">
          <cell r="T68">
            <v>2399</v>
          </cell>
        </row>
        <row r="69">
          <cell r="T69">
            <v>11958.692</v>
          </cell>
        </row>
        <row r="74">
          <cell r="T74">
            <v>373.969</v>
          </cell>
        </row>
        <row r="78">
          <cell r="T78">
            <v>5000</v>
          </cell>
        </row>
        <row r="79">
          <cell r="T79">
            <v>8897.57416</v>
          </cell>
        </row>
        <row r="80">
          <cell r="T80">
            <v>4669.22163</v>
          </cell>
        </row>
        <row r="81">
          <cell r="T81">
            <v>9429.69336</v>
          </cell>
        </row>
        <row r="82">
          <cell r="T82">
            <v>20282.861230000002</v>
          </cell>
        </row>
        <row r="84">
          <cell r="T84">
            <v>4219.18876</v>
          </cell>
        </row>
        <row r="85">
          <cell r="T85">
            <v>1390.747</v>
          </cell>
        </row>
        <row r="86">
          <cell r="T86">
            <v>7079.820769999999</v>
          </cell>
        </row>
        <row r="87">
          <cell r="T87">
            <v>12947.660820000001</v>
          </cell>
        </row>
        <row r="88">
          <cell r="T88">
            <v>10937.14711</v>
          </cell>
        </row>
        <row r="89">
          <cell r="T89">
            <v>11423.29425</v>
          </cell>
        </row>
        <row r="104">
          <cell r="T104">
            <v>79999.99999999999</v>
          </cell>
        </row>
        <row r="106">
          <cell r="T106">
            <v>0</v>
          </cell>
        </row>
        <row r="107">
          <cell r="T107">
            <v>22416.441960279994</v>
          </cell>
        </row>
        <row r="110">
          <cell r="T110">
            <v>17.14684972</v>
          </cell>
        </row>
        <row r="116">
          <cell r="T116">
            <v>34661.33448</v>
          </cell>
        </row>
        <row r="117">
          <cell r="T117">
            <v>1723.5</v>
          </cell>
        </row>
        <row r="120">
          <cell r="T120">
            <v>0</v>
          </cell>
        </row>
        <row r="121">
          <cell r="T121">
            <v>10656.60637</v>
          </cell>
        </row>
        <row r="122">
          <cell r="T122">
            <v>9182.292499999998</v>
          </cell>
        </row>
        <row r="123">
          <cell r="T123">
            <v>117.29469</v>
          </cell>
        </row>
        <row r="124">
          <cell r="T124">
            <v>10855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6.12"/>
      <sheetName val="CBS03.11(RM)"/>
      <sheetName val="CBS12.11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8">
          <cell r="W8">
            <v>4617</v>
          </cell>
        </row>
        <row r="21">
          <cell r="X21">
            <v>4217.216240000001</v>
          </cell>
        </row>
        <row r="26">
          <cell r="W26">
            <v>-3194.3551600000005</v>
          </cell>
        </row>
        <row r="27">
          <cell r="W27">
            <v>-2961.9573599999994</v>
          </cell>
        </row>
        <row r="28">
          <cell r="W28">
            <v>5655.363769999996</v>
          </cell>
        </row>
        <row r="29">
          <cell r="W29">
            <v>4956.89237</v>
          </cell>
        </row>
        <row r="30">
          <cell r="W30">
            <v>-1189.20576</v>
          </cell>
        </row>
        <row r="34">
          <cell r="W34">
            <v>-1717.9846300000013</v>
          </cell>
        </row>
        <row r="35">
          <cell r="W35">
            <v>-151</v>
          </cell>
        </row>
        <row r="36">
          <cell r="W36">
            <v>-511.2465000000004</v>
          </cell>
        </row>
        <row r="43">
          <cell r="W43">
            <v>-155.31901</v>
          </cell>
        </row>
        <row r="44">
          <cell r="W44">
            <v>-1611.0169300000002</v>
          </cell>
        </row>
        <row r="45">
          <cell r="W45">
            <v>-1451.328</v>
          </cell>
        </row>
        <row r="51">
          <cell r="W51">
            <v>590.20138</v>
          </cell>
        </row>
        <row r="52">
          <cell r="W52">
            <v>166.76546</v>
          </cell>
        </row>
        <row r="55">
          <cell r="W55">
            <v>-489.1287400000002</v>
          </cell>
        </row>
        <row r="56">
          <cell r="W56">
            <v>-9777.312310000001</v>
          </cell>
        </row>
        <row r="57">
          <cell r="W57">
            <v>62.9378</v>
          </cell>
        </row>
        <row r="58">
          <cell r="W58">
            <v>-2288.8125</v>
          </cell>
        </row>
        <row r="64">
          <cell r="W64">
            <v>1159</v>
          </cell>
        </row>
        <row r="65">
          <cell r="W65">
            <v>-7.5568</v>
          </cell>
        </row>
        <row r="66">
          <cell r="W66">
            <v>-646.76086</v>
          </cell>
        </row>
        <row r="67">
          <cell r="W67">
            <v>-56.548</v>
          </cell>
        </row>
        <row r="68">
          <cell r="W68">
            <v>-2405.2371000000003</v>
          </cell>
        </row>
        <row r="70">
          <cell r="W70">
            <v>0</v>
          </cell>
        </row>
        <row r="88">
          <cell r="W88">
            <v>7080</v>
          </cell>
        </row>
        <row r="89">
          <cell r="W89">
            <v>12948</v>
          </cell>
        </row>
        <row r="90">
          <cell r="W90">
            <v>10936.65541</v>
          </cell>
        </row>
        <row r="91">
          <cell r="W91">
            <v>11423</v>
          </cell>
        </row>
        <row r="92">
          <cell r="W92">
            <v>-3669.08759</v>
          </cell>
        </row>
        <row r="94">
          <cell r="W94">
            <v>-12948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48" sqref="B48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3.7109375" style="0" hidden="1" customWidth="1"/>
    <col min="4" max="4" width="19.8515625" style="0" hidden="1" customWidth="1"/>
    <col min="5" max="5" width="20.140625" style="0" hidden="1" customWidth="1"/>
    <col min="6" max="6" width="4.00390625" style="189" hidden="1" customWidth="1"/>
    <col min="7" max="8" width="20.140625" style="0" customWidth="1"/>
    <col min="9" max="9" width="3.7109375" style="0" customWidth="1"/>
    <col min="10" max="11" width="22.140625" style="0" customWidth="1"/>
    <col min="12" max="12" width="4.140625" style="0" customWidth="1"/>
    <col min="13" max="13" width="16.57421875" style="0" customWidth="1"/>
    <col min="14" max="14" width="5.8515625" style="0" hidden="1" customWidth="1"/>
    <col min="15" max="15" width="5.7109375" style="0" hidden="1" customWidth="1"/>
    <col min="16" max="16" width="17.28125" style="0" hidden="1" customWidth="1"/>
    <col min="17" max="22" width="9.140625" style="0" hidden="1" customWidth="1"/>
  </cols>
  <sheetData>
    <row r="1" ht="20.25">
      <c r="B1" s="6" t="s">
        <v>122</v>
      </c>
    </row>
    <row r="2" ht="12.75">
      <c r="B2" s="2"/>
    </row>
    <row r="3" spans="2:6" s="51" customFormat="1" ht="15">
      <c r="B3" s="16" t="s">
        <v>217</v>
      </c>
      <c r="F3" s="190"/>
    </row>
    <row r="4" spans="2:12" s="51" customFormat="1" ht="15">
      <c r="B4" s="16" t="s">
        <v>259</v>
      </c>
      <c r="F4" s="190"/>
      <c r="L4" s="85"/>
    </row>
    <row r="5" spans="2:12" s="51" customFormat="1" ht="15">
      <c r="B5" s="86"/>
      <c r="F5" s="190"/>
      <c r="L5" s="85"/>
    </row>
    <row r="6" spans="2:12" s="51" customFormat="1" ht="21" thickBot="1">
      <c r="B6" s="16"/>
      <c r="F6" s="190"/>
      <c r="J6" s="122"/>
      <c r="K6" s="178"/>
      <c r="L6" s="85"/>
    </row>
    <row r="7" spans="4:12" s="51" customFormat="1" ht="15.75" thickBot="1">
      <c r="D7" s="244" t="s">
        <v>85</v>
      </c>
      <c r="E7" s="245"/>
      <c r="F7" s="171"/>
      <c r="G7" s="244" t="s">
        <v>85</v>
      </c>
      <c r="H7" s="245"/>
      <c r="J7" s="244" t="s">
        <v>124</v>
      </c>
      <c r="K7" s="245"/>
      <c r="L7" s="60"/>
    </row>
    <row r="8" spans="3:12" s="51" customFormat="1" ht="12.75" customHeight="1">
      <c r="C8" s="55"/>
      <c r="D8" s="241" t="s">
        <v>138</v>
      </c>
      <c r="E8" s="241" t="s">
        <v>229</v>
      </c>
      <c r="F8" s="56"/>
      <c r="G8" s="241" t="s">
        <v>138</v>
      </c>
      <c r="H8" s="241" t="s">
        <v>229</v>
      </c>
      <c r="I8" s="55"/>
      <c r="J8" s="241" t="s">
        <v>232</v>
      </c>
      <c r="K8" s="241" t="s">
        <v>228</v>
      </c>
      <c r="L8" s="60"/>
    </row>
    <row r="9" spans="3:12" s="51" customFormat="1" ht="15">
      <c r="C9" s="55"/>
      <c r="D9" s="242"/>
      <c r="E9" s="243"/>
      <c r="F9" s="190"/>
      <c r="G9" s="242"/>
      <c r="H9" s="243"/>
      <c r="I9" s="55"/>
      <c r="J9" s="242"/>
      <c r="K9" s="243"/>
      <c r="L9" s="60"/>
    </row>
    <row r="10" spans="3:12" s="51" customFormat="1" ht="15">
      <c r="C10" s="55"/>
      <c r="D10" s="242"/>
      <c r="E10" s="243"/>
      <c r="F10" s="190"/>
      <c r="G10" s="242"/>
      <c r="H10" s="243"/>
      <c r="I10" s="55"/>
      <c r="J10" s="242"/>
      <c r="K10" s="243"/>
      <c r="L10" s="60"/>
    </row>
    <row r="11" spans="3:12" s="51" customFormat="1" ht="31.5" customHeight="1">
      <c r="C11" s="55"/>
      <c r="D11" s="242"/>
      <c r="E11" s="243"/>
      <c r="F11" s="190"/>
      <c r="G11" s="242"/>
      <c r="H11" s="243"/>
      <c r="I11" s="55"/>
      <c r="J11" s="242"/>
      <c r="K11" s="243"/>
      <c r="L11" s="60"/>
    </row>
    <row r="12" spans="3:16" s="51" customFormat="1" ht="15">
      <c r="C12" s="58"/>
      <c r="D12" s="57" t="s">
        <v>246</v>
      </c>
      <c r="E12" s="57" t="s">
        <v>247</v>
      </c>
      <c r="F12" s="222"/>
      <c r="G12" s="57" t="s">
        <v>261</v>
      </c>
      <c r="H12" s="57" t="s">
        <v>260</v>
      </c>
      <c r="I12" s="58"/>
      <c r="J12" s="57" t="s">
        <v>261</v>
      </c>
      <c r="K12" s="57" t="s">
        <v>260</v>
      </c>
      <c r="L12" s="60"/>
      <c r="P12" s="128" t="s">
        <v>139</v>
      </c>
    </row>
    <row r="13" spans="3:16" s="51" customFormat="1" ht="15">
      <c r="C13" s="58"/>
      <c r="D13" s="58" t="s">
        <v>0</v>
      </c>
      <c r="E13" s="58" t="s">
        <v>0</v>
      </c>
      <c r="F13" s="223"/>
      <c r="G13" s="58" t="s">
        <v>0</v>
      </c>
      <c r="H13" s="58" t="s">
        <v>0</v>
      </c>
      <c r="I13" s="58"/>
      <c r="J13" s="58" t="s">
        <v>0</v>
      </c>
      <c r="K13" s="58" t="s">
        <v>0</v>
      </c>
      <c r="L13" s="60"/>
      <c r="P13" s="102" t="s">
        <v>0</v>
      </c>
    </row>
    <row r="14" spans="3:16" s="51" customFormat="1" ht="15">
      <c r="C14" s="58"/>
      <c r="D14" s="58"/>
      <c r="E14" s="58"/>
      <c r="F14" s="223"/>
      <c r="G14" s="58"/>
      <c r="H14" s="58"/>
      <c r="I14" s="58"/>
      <c r="K14" s="58"/>
      <c r="P14" s="102"/>
    </row>
    <row r="15" spans="2:16" s="51" customFormat="1" ht="15">
      <c r="B15" s="16" t="s">
        <v>1</v>
      </c>
      <c r="C15" s="59"/>
      <c r="D15" s="129">
        <v>19782</v>
      </c>
      <c r="E15" s="129">
        <v>16439</v>
      </c>
      <c r="F15" s="204"/>
      <c r="G15" s="129">
        <f>J15-D15</f>
        <v>23812.35974</v>
      </c>
      <c r="H15" s="129">
        <f>K15-E15</f>
        <v>21945</v>
      </c>
      <c r="I15" s="59"/>
      <c r="J15" s="129">
        <f>'[7]1conso-YTD'!$T$12</f>
        <v>43594.35974</v>
      </c>
      <c r="K15" s="129">
        <v>38384</v>
      </c>
      <c r="L15" s="60"/>
      <c r="P15" s="102">
        <v>23670.793759999993</v>
      </c>
    </row>
    <row r="16" spans="3:16" s="51" customFormat="1" ht="14.25">
      <c r="C16" s="59"/>
      <c r="D16" s="129"/>
      <c r="E16" s="129"/>
      <c r="F16" s="204"/>
      <c r="G16" s="129"/>
      <c r="H16" s="129"/>
      <c r="I16" s="59"/>
      <c r="J16" s="129"/>
      <c r="K16" s="129"/>
      <c r="L16" s="60"/>
      <c r="P16" s="102"/>
    </row>
    <row r="17" spans="2:16" s="51" customFormat="1" ht="14.25">
      <c r="B17" s="51" t="s">
        <v>31</v>
      </c>
      <c r="C17" s="59"/>
      <c r="D17" s="129">
        <v>-11190</v>
      </c>
      <c r="E17" s="129">
        <v>-9507</v>
      </c>
      <c r="F17" s="204"/>
      <c r="G17" s="129">
        <f>J17-D17</f>
        <v>-14544.977600000002</v>
      </c>
      <c r="H17" s="129">
        <f>K17-E17</f>
        <v>-11491</v>
      </c>
      <c r="I17" s="59"/>
      <c r="J17" s="129">
        <f>'[7]1conso-YTD'!$T$13</f>
        <v>-25734.977600000002</v>
      </c>
      <c r="K17" s="129">
        <v>-20998</v>
      </c>
      <c r="L17" s="60"/>
      <c r="P17" s="102">
        <v>-11784.867779999999</v>
      </c>
    </row>
    <row r="18" spans="2:16" s="51" customFormat="1" ht="14.25">
      <c r="B18" s="60"/>
      <c r="C18" s="59"/>
      <c r="D18" s="172"/>
      <c r="E18" s="172"/>
      <c r="F18" s="176"/>
      <c r="G18" s="172"/>
      <c r="H18" s="172"/>
      <c r="I18" s="59"/>
      <c r="J18" s="133"/>
      <c r="K18" s="172"/>
      <c r="L18" s="60"/>
      <c r="P18" s="102"/>
    </row>
    <row r="19" spans="2:18" s="51" customFormat="1" ht="15">
      <c r="B19" s="61" t="s">
        <v>32</v>
      </c>
      <c r="C19" s="59"/>
      <c r="D19" s="129">
        <f>SUM(D15:D18)</f>
        <v>8592</v>
      </c>
      <c r="E19" s="129">
        <f>SUM(E15:E18)</f>
        <v>6932</v>
      </c>
      <c r="F19" s="204"/>
      <c r="G19" s="129">
        <f>SUM(G15:G18)</f>
        <v>9267.382139999998</v>
      </c>
      <c r="H19" s="129">
        <f>SUM(H15:H18)</f>
        <v>10454</v>
      </c>
      <c r="I19" s="59"/>
      <c r="J19" s="129">
        <f>+J15+J17</f>
        <v>17859.382139999998</v>
      </c>
      <c r="K19" s="204">
        <f>SUM(K15:K17)</f>
        <v>17386</v>
      </c>
      <c r="L19" s="60"/>
      <c r="N19" s="137" t="e">
        <f>#REF!/#REF!</f>
        <v>#REF!</v>
      </c>
      <c r="O19" s="137">
        <f>J19/J15</f>
        <v>0.40967185311390464</v>
      </c>
      <c r="P19" s="102">
        <v>11885.925979999995</v>
      </c>
      <c r="R19" s="61" t="s">
        <v>32</v>
      </c>
    </row>
    <row r="20" spans="3:16" s="51" customFormat="1" ht="14.25">
      <c r="C20" s="59"/>
      <c r="D20" s="132"/>
      <c r="E20" s="132"/>
      <c r="F20" s="176"/>
      <c r="G20" s="132"/>
      <c r="H20" s="132"/>
      <c r="I20" s="59"/>
      <c r="J20" s="132"/>
      <c r="K20" s="132"/>
      <c r="L20" s="60"/>
      <c r="P20" s="102"/>
    </row>
    <row r="21" spans="2:18" s="51" customFormat="1" ht="12.75" customHeight="1">
      <c r="B21" s="51" t="s">
        <v>50</v>
      </c>
      <c r="C21" s="59"/>
      <c r="D21" s="129">
        <v>620</v>
      </c>
      <c r="E21" s="129">
        <v>431</v>
      </c>
      <c r="F21" s="204"/>
      <c r="G21" s="129">
        <f>J21-D21</f>
        <v>221.0798299999999</v>
      </c>
      <c r="H21" s="129">
        <f>K21-E21</f>
        <v>300</v>
      </c>
      <c r="I21" s="59"/>
      <c r="J21" s="129">
        <f>'[7]1conso-YTD'!$T$16</f>
        <v>841.0798299999999</v>
      </c>
      <c r="K21" s="129">
        <v>731</v>
      </c>
      <c r="L21" s="87"/>
      <c r="P21" s="102">
        <v>1358.941480000004</v>
      </c>
      <c r="R21" s="51" t="s">
        <v>50</v>
      </c>
    </row>
    <row r="22" spans="3:16" s="51" customFormat="1" ht="12.75" customHeight="1">
      <c r="C22" s="59"/>
      <c r="D22" s="132"/>
      <c r="E22" s="129"/>
      <c r="F22" s="204"/>
      <c r="G22" s="129"/>
      <c r="H22" s="129"/>
      <c r="I22" s="59"/>
      <c r="J22" s="129"/>
      <c r="K22" s="129"/>
      <c r="L22" s="87"/>
      <c r="P22" s="102"/>
    </row>
    <row r="23" spans="2:18" s="51" customFormat="1" ht="12.75" customHeight="1">
      <c r="B23" s="51" t="s">
        <v>136</v>
      </c>
      <c r="C23" s="59"/>
      <c r="D23" s="129">
        <v>-5393</v>
      </c>
      <c r="E23" s="129">
        <v>-4720</v>
      </c>
      <c r="F23" s="204"/>
      <c r="G23" s="129">
        <f>J23-D23</f>
        <v>-5882.117049999997</v>
      </c>
      <c r="H23" s="129">
        <f>K23-E23</f>
        <v>-5067</v>
      </c>
      <c r="I23" s="59"/>
      <c r="J23" s="129">
        <f>'[7]1conso-YTD'!$T$18+'[7]1conso-YTD'!$T$19</f>
        <v>-11275.117049999997</v>
      </c>
      <c r="K23" s="129">
        <v>-9787</v>
      </c>
      <c r="L23" s="87"/>
      <c r="P23" s="102">
        <v>-4046.5124700000015</v>
      </c>
      <c r="R23" s="51" t="s">
        <v>136</v>
      </c>
    </row>
    <row r="24" spans="3:16" s="51" customFormat="1" ht="12.75" customHeight="1">
      <c r="C24" s="59"/>
      <c r="D24" s="132"/>
      <c r="E24" s="132"/>
      <c r="F24" s="176"/>
      <c r="G24" s="132"/>
      <c r="H24" s="132"/>
      <c r="I24" s="59"/>
      <c r="J24" s="129"/>
      <c r="K24" s="129"/>
      <c r="L24" s="87"/>
      <c r="P24" s="102"/>
    </row>
    <row r="25" spans="2:18" s="51" customFormat="1" ht="12.75" customHeight="1">
      <c r="B25" s="51" t="s">
        <v>135</v>
      </c>
      <c r="C25" s="59"/>
      <c r="D25" s="129">
        <v>-737</v>
      </c>
      <c r="E25" s="129">
        <v>-1027</v>
      </c>
      <c r="F25" s="204"/>
      <c r="G25" s="129">
        <f>J25-D25</f>
        <v>-726.86931</v>
      </c>
      <c r="H25" s="129">
        <f>K25-E25</f>
        <v>-1014</v>
      </c>
      <c r="I25" s="59"/>
      <c r="J25" s="129">
        <f>'[7]1conso-YTD'!$T$20</f>
        <v>-1463.86931</v>
      </c>
      <c r="K25" s="129">
        <v>-2041</v>
      </c>
      <c r="L25" s="87"/>
      <c r="P25" s="102">
        <v>-681.92669</v>
      </c>
      <c r="R25" s="51" t="s">
        <v>135</v>
      </c>
    </row>
    <row r="26" spans="2:18" s="51" customFormat="1" ht="14.25">
      <c r="B26" s="64"/>
      <c r="C26" s="59"/>
      <c r="D26" s="132"/>
      <c r="E26" s="129"/>
      <c r="F26" s="204"/>
      <c r="G26" s="129"/>
      <c r="H26" s="129"/>
      <c r="I26" s="59"/>
      <c r="J26" s="129"/>
      <c r="K26" s="129"/>
      <c r="L26" s="60"/>
      <c r="P26" s="102"/>
      <c r="R26" s="64"/>
    </row>
    <row r="27" spans="2:18" s="51" customFormat="1" ht="14.25">
      <c r="B27" s="51" t="s">
        <v>51</v>
      </c>
      <c r="C27" s="63"/>
      <c r="D27" s="129">
        <v>-587</v>
      </c>
      <c r="E27" s="129">
        <v>-405</v>
      </c>
      <c r="F27" s="204"/>
      <c r="G27" s="129">
        <f>J27-D27</f>
        <v>-757.5541299999998</v>
      </c>
      <c r="H27" s="129">
        <f>K27-E27</f>
        <v>-565</v>
      </c>
      <c r="I27" s="63"/>
      <c r="J27" s="129">
        <f>'[7]1conso-YTD'!$T$25</f>
        <v>-1344.5541299999998</v>
      </c>
      <c r="K27" s="129">
        <v>-970</v>
      </c>
      <c r="L27" s="60"/>
      <c r="P27" s="102">
        <v>-937.79819</v>
      </c>
      <c r="R27" s="51" t="s">
        <v>51</v>
      </c>
    </row>
    <row r="28" spans="3:16" s="51" customFormat="1" ht="14.25">
      <c r="C28" s="59"/>
      <c r="D28" s="133"/>
      <c r="E28" s="133"/>
      <c r="F28" s="176"/>
      <c r="G28" s="133"/>
      <c r="H28" s="133"/>
      <c r="I28" s="59"/>
      <c r="J28" s="133"/>
      <c r="K28" s="133"/>
      <c r="L28" s="87"/>
      <c r="P28" s="102"/>
    </row>
    <row r="29" spans="2:19" s="51" customFormat="1" ht="15">
      <c r="B29" s="16" t="s">
        <v>127</v>
      </c>
      <c r="C29" s="59"/>
      <c r="D29" s="129">
        <f>SUM(D19:D28)+1</f>
        <v>2496</v>
      </c>
      <c r="E29" s="129">
        <f>SUM(E19:E28)</f>
        <v>1211</v>
      </c>
      <c r="F29" s="204"/>
      <c r="G29" s="129">
        <f>SUM(G19:G28)-1</f>
        <v>2120.921480000002</v>
      </c>
      <c r="H29" s="129">
        <f>SUM(H19:H28)</f>
        <v>4108</v>
      </c>
      <c r="I29" s="59"/>
      <c r="J29" s="129">
        <f>SUM(J19:J27)-1</f>
        <v>4615.92148</v>
      </c>
      <c r="K29" s="129">
        <f>SUM(K19:K28)</f>
        <v>5319</v>
      </c>
      <c r="L29" s="60"/>
      <c r="N29" s="137" t="e">
        <f>#REF!/#REF!</f>
        <v>#REF!</v>
      </c>
      <c r="O29" s="137">
        <f>J29/J15</f>
        <v>0.10588345619776729</v>
      </c>
      <c r="P29" s="102">
        <v>7577.630109999996</v>
      </c>
      <c r="R29" s="16" t="s">
        <v>127</v>
      </c>
      <c r="S29" s="115"/>
    </row>
    <row r="30" spans="3:16" s="51" customFormat="1" ht="14.25">
      <c r="C30" s="59"/>
      <c r="D30" s="129"/>
      <c r="E30" s="129"/>
      <c r="F30" s="204"/>
      <c r="G30" s="129"/>
      <c r="H30" s="129"/>
      <c r="I30" s="59"/>
      <c r="J30" s="129"/>
      <c r="K30" s="129"/>
      <c r="L30" s="60"/>
      <c r="P30" s="102"/>
    </row>
    <row r="31" spans="2:18" s="51" customFormat="1" ht="14.25">
      <c r="B31" s="51" t="s">
        <v>33</v>
      </c>
      <c r="C31" s="59"/>
      <c r="D31" s="129">
        <v>-860</v>
      </c>
      <c r="E31" s="129">
        <v>-206</v>
      </c>
      <c r="F31" s="204"/>
      <c r="G31" s="129">
        <f>J31-D31</f>
        <v>-250.49399999999991</v>
      </c>
      <c r="H31" s="129">
        <f>K31-E31</f>
        <v>-1072</v>
      </c>
      <c r="I31" s="59"/>
      <c r="J31" s="129">
        <f>'[7]1conso-YTD'!$T$27</f>
        <v>-1110.494</v>
      </c>
      <c r="K31" s="129">
        <v>-1278</v>
      </c>
      <c r="L31" s="60"/>
      <c r="P31" s="102">
        <v>-1821.0964013993403</v>
      </c>
      <c r="R31" s="51" t="s">
        <v>33</v>
      </c>
    </row>
    <row r="32" spans="3:16" s="51" customFormat="1" ht="14.25">
      <c r="C32" s="59"/>
      <c r="D32" s="132"/>
      <c r="E32" s="132"/>
      <c r="F32" s="176"/>
      <c r="G32" s="132"/>
      <c r="H32" s="132"/>
      <c r="I32" s="59"/>
      <c r="J32" s="133"/>
      <c r="K32" s="133"/>
      <c r="L32" s="87"/>
      <c r="P32" s="102"/>
    </row>
    <row r="33" spans="2:18" s="51" customFormat="1" ht="15.75" thickBot="1">
      <c r="B33" s="16" t="s">
        <v>128</v>
      </c>
      <c r="C33" s="59"/>
      <c r="D33" s="130">
        <f>SUM(D29:D32)</f>
        <v>1636</v>
      </c>
      <c r="E33" s="130">
        <f>SUM(E29:E32)</f>
        <v>1005</v>
      </c>
      <c r="F33" s="176"/>
      <c r="G33" s="130">
        <f>SUM(G29:G32)+1</f>
        <v>1871.4274800000019</v>
      </c>
      <c r="H33" s="130">
        <f>SUM(H29:H32)</f>
        <v>3036</v>
      </c>
      <c r="I33" s="59"/>
      <c r="J33" s="130">
        <f>SUM(J29:J32)+1</f>
        <v>3506.4274800000003</v>
      </c>
      <c r="K33" s="130">
        <f>SUM(K29:K32)</f>
        <v>4041</v>
      </c>
      <c r="L33" s="60"/>
      <c r="N33" s="137" t="e">
        <f>#REF!/#REF!</f>
        <v>#REF!</v>
      </c>
      <c r="O33" s="137">
        <f>J33/J15</f>
        <v>0.08043305374623218</v>
      </c>
      <c r="P33" s="102">
        <v>5756.533708600657</v>
      </c>
      <c r="R33" s="16" t="s">
        <v>128</v>
      </c>
    </row>
    <row r="34" spans="2:18" s="51" customFormat="1" ht="15.75" thickTop="1">
      <c r="B34" s="16"/>
      <c r="C34" s="59"/>
      <c r="D34" s="132"/>
      <c r="E34" s="132"/>
      <c r="F34" s="176"/>
      <c r="G34" s="132"/>
      <c r="H34" s="132"/>
      <c r="I34" s="59"/>
      <c r="J34" s="132"/>
      <c r="K34" s="132"/>
      <c r="L34" s="60"/>
      <c r="N34" s="137"/>
      <c r="O34" s="137"/>
      <c r="P34" s="102"/>
      <c r="R34" s="16"/>
    </row>
    <row r="35" spans="2:18" s="51" customFormat="1" ht="15">
      <c r="B35" s="16" t="s">
        <v>218</v>
      </c>
      <c r="C35" s="186"/>
      <c r="D35" s="185">
        <v>0</v>
      </c>
      <c r="E35" s="185">
        <v>0</v>
      </c>
      <c r="F35" s="224"/>
      <c r="G35" s="185">
        <v>0</v>
      </c>
      <c r="H35" s="129">
        <f>K35-E35</f>
        <v>0</v>
      </c>
      <c r="I35" s="186"/>
      <c r="J35" s="185">
        <v>0</v>
      </c>
      <c r="K35" s="185">
        <v>0</v>
      </c>
      <c r="L35" s="60"/>
      <c r="N35" s="137"/>
      <c r="O35" s="137"/>
      <c r="P35" s="102"/>
      <c r="R35" s="16"/>
    </row>
    <row r="36" spans="2:18" s="51" customFormat="1" ht="15">
      <c r="B36" s="16"/>
      <c r="C36" s="186"/>
      <c r="D36" s="185"/>
      <c r="E36" s="185"/>
      <c r="F36" s="224"/>
      <c r="G36" s="185"/>
      <c r="H36" s="185"/>
      <c r="I36" s="186"/>
      <c r="J36" s="185"/>
      <c r="K36" s="185"/>
      <c r="L36" s="60"/>
      <c r="N36" s="137"/>
      <c r="O36" s="137"/>
      <c r="P36" s="102"/>
      <c r="R36" s="16"/>
    </row>
    <row r="37" spans="2:18" s="51" customFormat="1" ht="15">
      <c r="B37" s="16" t="s">
        <v>219</v>
      </c>
      <c r="C37" s="186"/>
      <c r="D37" s="187">
        <f>SUM(D35:D36)</f>
        <v>0</v>
      </c>
      <c r="E37" s="187">
        <f>SUM(E35:E36)</f>
        <v>0</v>
      </c>
      <c r="F37" s="224"/>
      <c r="G37" s="187">
        <f>SUM(G35:G36)</f>
        <v>0</v>
      </c>
      <c r="H37" s="187"/>
      <c r="I37" s="186"/>
      <c r="J37" s="187">
        <f>SUM(J35:J36)</f>
        <v>0</v>
      </c>
      <c r="K37" s="187">
        <v>0</v>
      </c>
      <c r="L37" s="60"/>
      <c r="N37" s="137"/>
      <c r="O37" s="137"/>
      <c r="P37" s="102"/>
      <c r="R37" s="16"/>
    </row>
    <row r="38" spans="2:18" s="51" customFormat="1" ht="15">
      <c r="B38" s="16"/>
      <c r="C38" s="59"/>
      <c r="D38" s="132"/>
      <c r="E38" s="132"/>
      <c r="F38" s="176"/>
      <c r="G38" s="132"/>
      <c r="H38" s="132"/>
      <c r="I38" s="59"/>
      <c r="J38" s="132"/>
      <c r="K38" s="132"/>
      <c r="L38" s="60"/>
      <c r="N38" s="137"/>
      <c r="O38" s="137"/>
      <c r="P38" s="102"/>
      <c r="R38" s="16"/>
    </row>
    <row r="39" spans="2:18" s="51" customFormat="1" ht="15.75" thickBot="1">
      <c r="B39" s="16" t="s">
        <v>220</v>
      </c>
      <c r="C39" s="59"/>
      <c r="D39" s="134">
        <f>D33</f>
        <v>1636</v>
      </c>
      <c r="E39" s="134">
        <f>E33</f>
        <v>1005</v>
      </c>
      <c r="F39" s="176"/>
      <c r="G39" s="134">
        <f>G33</f>
        <v>1871.4274800000019</v>
      </c>
      <c r="H39" s="134">
        <f>H33</f>
        <v>3036</v>
      </c>
      <c r="I39" s="59"/>
      <c r="J39" s="134">
        <f>J33</f>
        <v>3506.4274800000003</v>
      </c>
      <c r="K39" s="134">
        <f>K33</f>
        <v>4041</v>
      </c>
      <c r="L39" s="60"/>
      <c r="N39" s="137"/>
      <c r="O39" s="137"/>
      <c r="P39" s="102"/>
      <c r="R39" s="16"/>
    </row>
    <row r="40" spans="2:18" s="51" customFormat="1" ht="15.75" thickTop="1">
      <c r="B40" s="16"/>
      <c r="C40" s="59"/>
      <c r="D40" s="132"/>
      <c r="E40" s="132"/>
      <c r="F40" s="176"/>
      <c r="G40" s="132"/>
      <c r="H40" s="132"/>
      <c r="I40" s="59"/>
      <c r="J40" s="132"/>
      <c r="K40" s="132"/>
      <c r="L40" s="60"/>
      <c r="N40" s="137"/>
      <c r="O40" s="137"/>
      <c r="P40" s="102"/>
      <c r="R40" s="16"/>
    </row>
    <row r="41" spans="2:18" s="51" customFormat="1" ht="15">
      <c r="B41" s="16" t="s">
        <v>225</v>
      </c>
      <c r="C41" s="59"/>
      <c r="D41" s="132"/>
      <c r="E41" s="132"/>
      <c r="F41" s="176"/>
      <c r="G41" s="132"/>
      <c r="H41" s="132"/>
      <c r="I41" s="59"/>
      <c r="J41" s="132"/>
      <c r="K41" s="132"/>
      <c r="L41" s="60"/>
      <c r="N41" s="137"/>
      <c r="O41" s="137"/>
      <c r="P41" s="102"/>
      <c r="R41" s="16"/>
    </row>
    <row r="42" spans="2:18" s="51" customFormat="1" ht="15">
      <c r="B42" s="16"/>
      <c r="C42" s="59"/>
      <c r="D42" s="132"/>
      <c r="E42" s="132"/>
      <c r="F42" s="176"/>
      <c r="G42" s="132"/>
      <c r="H42" s="132"/>
      <c r="I42" s="59"/>
      <c r="J42" s="132"/>
      <c r="K42" s="132"/>
      <c r="L42" s="60"/>
      <c r="N42" s="137"/>
      <c r="O42" s="137"/>
      <c r="P42" s="102"/>
      <c r="R42" s="16"/>
    </row>
    <row r="43" spans="2:18" s="51" customFormat="1" ht="15">
      <c r="B43" s="51" t="s">
        <v>226</v>
      </c>
      <c r="C43" s="59"/>
      <c r="D43" s="129">
        <v>1699</v>
      </c>
      <c r="E43" s="129">
        <v>1007</v>
      </c>
      <c r="F43" s="204"/>
      <c r="G43" s="129">
        <f>J43-D43</f>
        <v>1823.5666302800005</v>
      </c>
      <c r="H43" s="129">
        <f>K43-E43</f>
        <v>3041</v>
      </c>
      <c r="I43" s="62"/>
      <c r="J43" s="176">
        <f>'[7]1conso-YTD'!$T$31</f>
        <v>3522.5666302800005</v>
      </c>
      <c r="K43" s="176">
        <v>4048</v>
      </c>
      <c r="L43" s="60"/>
      <c r="N43" s="137"/>
      <c r="O43" s="137"/>
      <c r="P43" s="102"/>
      <c r="R43" s="16"/>
    </row>
    <row r="44" spans="3:18" s="51" customFormat="1" ht="15">
      <c r="C44" s="59"/>
      <c r="D44" s="176"/>
      <c r="E44" s="176"/>
      <c r="F44" s="176"/>
      <c r="G44" s="176"/>
      <c r="H44" s="176"/>
      <c r="I44" s="62"/>
      <c r="J44" s="176"/>
      <c r="K44" s="176"/>
      <c r="L44" s="60"/>
      <c r="N44" s="137"/>
      <c r="O44" s="137"/>
      <c r="P44" s="102"/>
      <c r="R44" s="16"/>
    </row>
    <row r="45" spans="2:18" s="51" customFormat="1" ht="15">
      <c r="B45" s="51" t="s">
        <v>227</v>
      </c>
      <c r="C45" s="59"/>
      <c r="D45" s="129">
        <v>-64</v>
      </c>
      <c r="E45" s="129">
        <v>-2</v>
      </c>
      <c r="F45" s="204"/>
      <c r="G45" s="129">
        <f>J45-D45</f>
        <v>47.860849720000004</v>
      </c>
      <c r="H45" s="129">
        <f>K45-E45</f>
        <v>-5</v>
      </c>
      <c r="I45" s="62"/>
      <c r="J45" s="204">
        <f>-'[7]1conso-YTD'!$T$29</f>
        <v>-16.13915028</v>
      </c>
      <c r="K45" s="204">
        <v>-7</v>
      </c>
      <c r="L45" s="60"/>
      <c r="N45" s="137"/>
      <c r="O45" s="137"/>
      <c r="P45" s="102"/>
      <c r="R45" s="16"/>
    </row>
    <row r="46" spans="2:18" s="51" customFormat="1" ht="15">
      <c r="B46" s="16"/>
      <c r="C46" s="59"/>
      <c r="D46" s="176"/>
      <c r="E46" s="176"/>
      <c r="F46" s="176"/>
      <c r="G46" s="176"/>
      <c r="H46" s="176"/>
      <c r="I46" s="62"/>
      <c r="J46" s="176"/>
      <c r="K46" s="176"/>
      <c r="L46" s="60"/>
      <c r="N46" s="137"/>
      <c r="O46" s="137"/>
      <c r="P46" s="102"/>
      <c r="R46" s="16"/>
    </row>
    <row r="47" spans="2:18" s="51" customFormat="1" ht="15.75" thickBot="1">
      <c r="B47" s="51" t="s">
        <v>220</v>
      </c>
      <c r="C47" s="59"/>
      <c r="D47" s="206">
        <f>SUM(D43:D46)</f>
        <v>1635</v>
      </c>
      <c r="E47" s="206">
        <f>SUM(E43:E46)</f>
        <v>1005</v>
      </c>
      <c r="F47" s="176"/>
      <c r="G47" s="206">
        <f>SUM(G43:G46)</f>
        <v>1871.4274800000005</v>
      </c>
      <c r="H47" s="206">
        <f>SUM(H43:H46)</f>
        <v>3036</v>
      </c>
      <c r="I47" s="62"/>
      <c r="J47" s="206">
        <f>SUM(J43:J46)</f>
        <v>3506.4274800000003</v>
      </c>
      <c r="K47" s="206">
        <f>SUM(K43:K46)</f>
        <v>4041</v>
      </c>
      <c r="L47" s="60"/>
      <c r="N47" s="137"/>
      <c r="O47" s="137"/>
      <c r="P47" s="102"/>
      <c r="R47" s="16"/>
    </row>
    <row r="48" spans="3:18" s="51" customFormat="1" ht="15.75" thickTop="1">
      <c r="C48" s="59"/>
      <c r="D48" s="176"/>
      <c r="E48" s="207"/>
      <c r="F48" s="207"/>
      <c r="G48" s="207"/>
      <c r="H48" s="207"/>
      <c r="I48" s="62"/>
      <c r="J48" s="176"/>
      <c r="K48" s="176"/>
      <c r="L48" s="60"/>
      <c r="N48" s="137"/>
      <c r="O48" s="137"/>
      <c r="P48" s="102"/>
      <c r="R48" s="16"/>
    </row>
    <row r="49" spans="2:18" s="51" customFormat="1" ht="15">
      <c r="B49" s="16"/>
      <c r="C49" s="59"/>
      <c r="D49" s="176"/>
      <c r="E49" s="207"/>
      <c r="F49" s="207"/>
      <c r="G49" s="207"/>
      <c r="H49" s="207"/>
      <c r="I49" s="62"/>
      <c r="J49" s="176"/>
      <c r="K49" s="176"/>
      <c r="L49" s="60"/>
      <c r="N49" s="137"/>
      <c r="O49" s="137"/>
      <c r="P49" s="102"/>
      <c r="R49" s="16"/>
    </row>
    <row r="50" spans="2:12" s="51" customFormat="1" ht="14.25">
      <c r="B50" s="54" t="s">
        <v>145</v>
      </c>
      <c r="C50" s="59"/>
      <c r="D50" s="176"/>
      <c r="E50" s="207"/>
      <c r="F50" s="207"/>
      <c r="G50" s="207"/>
      <c r="H50" s="207"/>
      <c r="I50" s="62"/>
      <c r="J50" s="207"/>
      <c r="K50" s="176"/>
      <c r="L50" s="87"/>
    </row>
    <row r="51" spans="2:12" s="51" customFormat="1" ht="14.25">
      <c r="B51" s="54" t="s">
        <v>146</v>
      </c>
      <c r="C51" s="62"/>
      <c r="D51" s="204">
        <f>J51</f>
        <v>160000</v>
      </c>
      <c r="E51" s="204">
        <v>90000</v>
      </c>
      <c r="F51" s="204"/>
      <c r="G51" s="204">
        <v>160000</v>
      </c>
      <c r="H51" s="204">
        <v>90000</v>
      </c>
      <c r="I51" s="62"/>
      <c r="J51" s="176">
        <v>160000</v>
      </c>
      <c r="K51" s="204">
        <v>90000</v>
      </c>
      <c r="L51" s="87"/>
    </row>
    <row r="52" spans="2:12" s="51" customFormat="1" ht="14.25">
      <c r="B52" s="54"/>
      <c r="C52" s="62"/>
      <c r="D52" s="176"/>
      <c r="E52" s="176"/>
      <c r="F52" s="176"/>
      <c r="G52" s="176"/>
      <c r="H52" s="176"/>
      <c r="I52" s="62"/>
      <c r="J52" s="176"/>
      <c r="K52" s="176"/>
      <c r="L52" s="87"/>
    </row>
    <row r="53" spans="2:12" s="51" customFormat="1" ht="14.25">
      <c r="B53" s="51" t="s">
        <v>221</v>
      </c>
      <c r="C53" s="62"/>
      <c r="D53" s="177">
        <f>D43/D51*100</f>
        <v>1.061875</v>
      </c>
      <c r="E53" s="177">
        <f>E43/E51*100</f>
        <v>1.1188888888888888</v>
      </c>
      <c r="F53" s="177"/>
      <c r="G53" s="177">
        <f>G43/G51*100</f>
        <v>1.1397291439250004</v>
      </c>
      <c r="H53" s="177">
        <f>H43/H51*100</f>
        <v>3.378888888888889</v>
      </c>
      <c r="I53" s="62"/>
      <c r="J53" s="177">
        <f>J43/J51*100</f>
        <v>2.2016041439250005</v>
      </c>
      <c r="K53" s="177">
        <f>K43/K51*100</f>
        <v>4.497777777777777</v>
      </c>
      <c r="L53" s="60"/>
    </row>
    <row r="54" spans="6:12" s="51" customFormat="1" ht="14.25">
      <c r="F54" s="190"/>
      <c r="K54" s="205"/>
      <c r="L54" s="60"/>
    </row>
    <row r="55" spans="3:12" s="51" customFormat="1" ht="14.25">
      <c r="C55" s="65"/>
      <c r="D55" s="65"/>
      <c r="E55" s="65"/>
      <c r="F55" s="225"/>
      <c r="G55" s="65"/>
      <c r="H55" s="65"/>
      <c r="I55" s="65"/>
      <c r="J55" s="65"/>
      <c r="K55" s="65"/>
      <c r="L55" s="60"/>
    </row>
    <row r="56" spans="2:6" s="51" customFormat="1" ht="15">
      <c r="B56" s="66" t="s">
        <v>80</v>
      </c>
      <c r="F56" s="190"/>
    </row>
    <row r="57" spans="2:6" s="51" customFormat="1" ht="14.25">
      <c r="B57" s="51" t="s">
        <v>99</v>
      </c>
      <c r="F57" s="190"/>
    </row>
    <row r="58" spans="1:6" s="51" customFormat="1" ht="18">
      <c r="A58" s="120" t="s">
        <v>125</v>
      </c>
      <c r="B58" s="119" t="s">
        <v>140</v>
      </c>
      <c r="F58" s="190"/>
    </row>
    <row r="59" spans="1:6" s="51" customFormat="1" ht="18">
      <c r="A59" s="119"/>
      <c r="B59" s="121" t="s">
        <v>141</v>
      </c>
      <c r="F59" s="190"/>
    </row>
    <row r="60" spans="1:6" s="51" customFormat="1" ht="11.25" customHeight="1">
      <c r="A60" s="119"/>
      <c r="B60" s="119"/>
      <c r="F60" s="190"/>
    </row>
    <row r="61" spans="1:6" s="51" customFormat="1" ht="18">
      <c r="A61" s="118" t="s">
        <v>126</v>
      </c>
      <c r="B61" s="119" t="s">
        <v>222</v>
      </c>
      <c r="F61" s="190"/>
    </row>
    <row r="62" spans="1:6" s="51" customFormat="1" ht="18">
      <c r="A62" s="119"/>
      <c r="B62" s="119" t="s">
        <v>250</v>
      </c>
      <c r="F62" s="190"/>
    </row>
    <row r="63" spans="1:6" s="51" customFormat="1" ht="15.75" customHeight="1">
      <c r="A63" s="119"/>
      <c r="B63" s="119" t="s">
        <v>99</v>
      </c>
      <c r="F63" s="190"/>
    </row>
    <row r="64" spans="1:6" s="51" customFormat="1" ht="15.75" customHeight="1">
      <c r="A64" s="118"/>
      <c r="B64" s="119"/>
      <c r="F64" s="190"/>
    </row>
    <row r="65" spans="2:11" ht="16.5" customHeight="1">
      <c r="B65" s="119"/>
      <c r="C65" s="38"/>
      <c r="D65" s="38"/>
      <c r="E65" s="38"/>
      <c r="F65" s="226"/>
      <c r="G65" s="38"/>
      <c r="H65" s="38"/>
      <c r="I65" s="38"/>
      <c r="J65" s="38"/>
      <c r="K65" s="38"/>
    </row>
    <row r="66" spans="2:11" ht="12.75">
      <c r="B66" s="38"/>
      <c r="C66" s="38"/>
      <c r="D66" s="38"/>
      <c r="E66" s="38"/>
      <c r="F66" s="226"/>
      <c r="G66" s="38"/>
      <c r="H66" s="38"/>
      <c r="I66" s="38"/>
      <c r="J66" s="38"/>
      <c r="K66" s="38"/>
    </row>
    <row r="67" ht="12.75">
      <c r="K67" s="38"/>
    </row>
    <row r="94" spans="2:10" ht="12.75">
      <c r="B94" s="38"/>
      <c r="C94" s="38"/>
      <c r="D94" s="38"/>
      <c r="E94" s="38"/>
      <c r="F94" s="226"/>
      <c r="G94" s="38"/>
      <c r="H94" s="38"/>
      <c r="I94" s="38"/>
      <c r="J94" s="116" t="e">
        <f>'[2]weighted avr share'!$O$36/1000</f>
        <v>#REF!</v>
      </c>
    </row>
  </sheetData>
  <sheetProtection/>
  <mergeCells count="9">
    <mergeCell ref="G8:G11"/>
    <mergeCell ref="H8:H11"/>
    <mergeCell ref="D8:D11"/>
    <mergeCell ref="E8:E11"/>
    <mergeCell ref="J7:K7"/>
    <mergeCell ref="J8:J11"/>
    <mergeCell ref="K8:K11"/>
    <mergeCell ref="D7:E7"/>
    <mergeCell ref="G7:H7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9" t="s">
        <v>154</v>
      </c>
      <c r="C1" s="138"/>
      <c r="D1" s="138"/>
    </row>
    <row r="2" spans="2:4" ht="15">
      <c r="B2" s="139" t="s">
        <v>155</v>
      </c>
      <c r="C2" s="138"/>
      <c r="D2" s="138"/>
    </row>
    <row r="3" spans="2:4" ht="15">
      <c r="B3" s="144"/>
      <c r="C3" s="144"/>
      <c r="D3" s="140">
        <v>2009</v>
      </c>
    </row>
    <row r="4" spans="2:4" ht="15">
      <c r="B4" s="140"/>
      <c r="C4" s="144"/>
      <c r="D4" s="140" t="s">
        <v>156</v>
      </c>
    </row>
    <row r="5" spans="2:4" ht="15">
      <c r="B5" s="144"/>
      <c r="C5" s="144"/>
      <c r="D5" s="140"/>
    </row>
    <row r="6" spans="2:4" ht="15">
      <c r="B6" s="144" t="s">
        <v>34</v>
      </c>
      <c r="C6" s="144"/>
      <c r="D6" s="140"/>
    </row>
    <row r="7" spans="2:4" ht="15">
      <c r="B7" s="144" t="s">
        <v>35</v>
      </c>
      <c r="C7" s="145"/>
      <c r="D7" s="141"/>
    </row>
    <row r="8" spans="2:4" ht="14.25">
      <c r="B8" s="145" t="s">
        <v>112</v>
      </c>
      <c r="C8" s="145">
        <v>4</v>
      </c>
      <c r="D8" s="146">
        <v>27432609</v>
      </c>
    </row>
    <row r="9" spans="2:4" ht="14.25">
      <c r="B9" s="145" t="s">
        <v>157</v>
      </c>
      <c r="C9" s="145">
        <v>5</v>
      </c>
      <c r="D9" s="146">
        <v>2517123</v>
      </c>
    </row>
    <row r="10" spans="2:4" ht="15" thickBot="1">
      <c r="B10" s="145" t="s">
        <v>158</v>
      </c>
      <c r="C10" s="145">
        <v>6</v>
      </c>
      <c r="D10" s="147">
        <v>373969</v>
      </c>
    </row>
    <row r="11" spans="2:4" ht="15" thickBot="1">
      <c r="B11" s="145"/>
      <c r="C11" s="145"/>
      <c r="D11" s="147">
        <v>30323701</v>
      </c>
    </row>
    <row r="12" spans="2:4" ht="14.25">
      <c r="B12" s="145"/>
      <c r="C12" s="145"/>
      <c r="D12" s="141"/>
    </row>
    <row r="13" spans="2:4" ht="15">
      <c r="B13" s="144" t="s">
        <v>159</v>
      </c>
      <c r="C13" s="145"/>
      <c r="D13" s="141"/>
    </row>
    <row r="14" spans="2:4" ht="14.25">
      <c r="B14" s="145" t="s">
        <v>54</v>
      </c>
      <c r="C14" s="145"/>
      <c r="D14" s="146">
        <v>5552350</v>
      </c>
    </row>
    <row r="15" spans="2:4" ht="14.25">
      <c r="B15" s="145" t="s">
        <v>53</v>
      </c>
      <c r="C15" s="145"/>
      <c r="D15" s="146">
        <v>16242532</v>
      </c>
    </row>
    <row r="16" spans="2:4" ht="14.25">
      <c r="B16" s="145" t="s">
        <v>113</v>
      </c>
      <c r="C16" s="145">
        <v>7</v>
      </c>
      <c r="D16" s="146">
        <v>16697047</v>
      </c>
    </row>
    <row r="17" spans="2:4" ht="14.25">
      <c r="B17" s="145" t="s">
        <v>160</v>
      </c>
      <c r="C17" s="145">
        <v>8</v>
      </c>
      <c r="D17" s="146">
        <v>969346</v>
      </c>
    </row>
    <row r="18" spans="2:4" ht="14.25">
      <c r="B18" s="145" t="s">
        <v>161</v>
      </c>
      <c r="C18" s="145"/>
      <c r="D18" s="146">
        <v>641291</v>
      </c>
    </row>
    <row r="19" spans="2:4" ht="14.25">
      <c r="B19" s="145" t="s">
        <v>162</v>
      </c>
      <c r="C19" s="145">
        <v>9</v>
      </c>
      <c r="D19" s="146">
        <v>8538068</v>
      </c>
    </row>
    <row r="20" spans="2:4" ht="14.25">
      <c r="B20" s="145" t="s">
        <v>81</v>
      </c>
      <c r="C20" s="145">
        <v>10</v>
      </c>
      <c r="D20" s="146">
        <v>19711108</v>
      </c>
    </row>
    <row r="21" spans="2:4" ht="15" thickBot="1">
      <c r="B21" s="145" t="s">
        <v>163</v>
      </c>
      <c r="C21" s="145"/>
      <c r="D21" s="147">
        <v>3199333</v>
      </c>
    </row>
    <row r="22" spans="2:4" ht="15" thickBot="1">
      <c r="B22" s="145"/>
      <c r="C22" s="145"/>
      <c r="D22" s="147">
        <v>71551075</v>
      </c>
    </row>
    <row r="23" spans="2:4" ht="14.25">
      <c r="B23" s="145"/>
      <c r="C23" s="145"/>
      <c r="D23" s="141"/>
    </row>
    <row r="24" spans="2:4" ht="15.75" thickBot="1">
      <c r="B24" s="144" t="s">
        <v>164</v>
      </c>
      <c r="C24" s="145"/>
      <c r="D24" s="148">
        <v>101874776</v>
      </c>
    </row>
    <row r="25" spans="2:4" ht="15" thickTop="1">
      <c r="B25" s="145"/>
      <c r="C25" s="145"/>
      <c r="D25" s="141"/>
    </row>
    <row r="26" spans="2:4" ht="15">
      <c r="B26" s="144" t="s">
        <v>37</v>
      </c>
      <c r="C26" s="145"/>
      <c r="D26" s="141"/>
    </row>
    <row r="27" spans="2:4" ht="30">
      <c r="B27" s="144" t="s">
        <v>165</v>
      </c>
      <c r="C27" s="145"/>
      <c r="D27" s="141"/>
    </row>
    <row r="28" spans="2:4" ht="14.25">
      <c r="B28" s="145" t="s">
        <v>57</v>
      </c>
      <c r="C28" s="145">
        <v>11</v>
      </c>
      <c r="D28" s="146">
        <v>45000000</v>
      </c>
    </row>
    <row r="29" spans="2:4" ht="15" thickBot="1">
      <c r="B29" s="145" t="s">
        <v>114</v>
      </c>
      <c r="C29" s="145">
        <v>12</v>
      </c>
      <c r="D29" s="147">
        <v>11565078</v>
      </c>
    </row>
    <row r="30" spans="2:4" ht="15.75" thickBot="1">
      <c r="B30" s="144" t="s">
        <v>62</v>
      </c>
      <c r="C30" s="145"/>
      <c r="D30" s="147">
        <v>56565078</v>
      </c>
    </row>
    <row r="31" spans="2:4" ht="14.25">
      <c r="B31" s="145"/>
      <c r="C31" s="145"/>
      <c r="D31" s="141"/>
    </row>
    <row r="32" spans="2:4" ht="15">
      <c r="B32" s="144" t="s">
        <v>38</v>
      </c>
      <c r="C32" s="145"/>
      <c r="D32" s="141"/>
    </row>
    <row r="33" spans="2:4" ht="14.25">
      <c r="B33" s="145" t="s">
        <v>58</v>
      </c>
      <c r="C33" s="145">
        <v>13</v>
      </c>
      <c r="D33" s="146">
        <v>345789</v>
      </c>
    </row>
    <row r="34" spans="2:4" ht="14.25">
      <c r="B34" s="145" t="s">
        <v>166</v>
      </c>
      <c r="C34" s="145">
        <v>14</v>
      </c>
      <c r="D34" s="146">
        <v>16586846</v>
      </c>
    </row>
    <row r="35" spans="2:4" ht="15" thickBot="1">
      <c r="B35" s="145" t="s">
        <v>116</v>
      </c>
      <c r="C35" s="145">
        <v>15</v>
      </c>
      <c r="D35" s="147">
        <v>1143700</v>
      </c>
    </row>
    <row r="36" spans="2:4" ht="15" thickBot="1">
      <c r="B36" s="145"/>
      <c r="C36" s="145"/>
      <c r="D36" s="147">
        <v>18076335</v>
      </c>
    </row>
    <row r="37" spans="2:4" ht="14.25">
      <c r="B37" s="145"/>
      <c r="C37" s="145"/>
      <c r="D37" s="141"/>
    </row>
    <row r="38" spans="2:4" ht="15">
      <c r="B38" s="144" t="s">
        <v>167</v>
      </c>
      <c r="C38" s="145"/>
      <c r="D38" s="141"/>
    </row>
    <row r="39" spans="2:4" ht="14.25">
      <c r="B39" s="145" t="s">
        <v>168</v>
      </c>
      <c r="C39" s="145">
        <v>16</v>
      </c>
      <c r="D39" s="146">
        <v>8748757</v>
      </c>
    </row>
    <row r="40" spans="2:4" ht="14.25">
      <c r="B40" s="145" t="s">
        <v>117</v>
      </c>
      <c r="C40" s="145"/>
      <c r="D40" s="146">
        <v>2966428</v>
      </c>
    </row>
    <row r="41" spans="2:4" ht="14.25">
      <c r="B41" s="145" t="s">
        <v>58</v>
      </c>
      <c r="C41" s="145">
        <v>13</v>
      </c>
      <c r="D41" s="146">
        <v>127863</v>
      </c>
    </row>
    <row r="42" spans="2:4" ht="14.25">
      <c r="B42" s="145" t="s">
        <v>166</v>
      </c>
      <c r="C42" s="145">
        <v>14</v>
      </c>
      <c r="D42" s="146">
        <v>14173873</v>
      </c>
    </row>
    <row r="43" spans="2:4" ht="15" thickBot="1">
      <c r="B43" s="145" t="s">
        <v>169</v>
      </c>
      <c r="C43" s="145"/>
      <c r="D43" s="147">
        <v>1216442</v>
      </c>
    </row>
    <row r="44" spans="2:4" ht="15" thickBot="1">
      <c r="B44" s="145"/>
      <c r="C44" s="145"/>
      <c r="D44" s="147">
        <v>27233363</v>
      </c>
    </row>
    <row r="45" spans="2:4" ht="14.25">
      <c r="B45" s="145"/>
      <c r="C45" s="145"/>
      <c r="D45" s="141"/>
    </row>
    <row r="46" spans="2:4" ht="15.75" thickBot="1">
      <c r="B46" s="144" t="s">
        <v>170</v>
      </c>
      <c r="C46" s="145"/>
      <c r="D46" s="147">
        <v>45309698</v>
      </c>
    </row>
    <row r="47" spans="2:4" ht="15.75" thickBot="1">
      <c r="B47" s="144" t="s">
        <v>171</v>
      </c>
      <c r="C47" s="145"/>
      <c r="D47" s="148">
        <v>101874776</v>
      </c>
    </row>
    <row r="48" spans="2:4" ht="13.5" thickTop="1">
      <c r="B48" s="142"/>
      <c r="C48" s="142"/>
      <c r="D48" s="149"/>
    </row>
    <row r="49" ht="14.25">
      <c r="B49" s="1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3">
      <selection activeCell="E55" sqref="E55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46" t="str">
        <f>+'Income statement'!B1</f>
        <v>HANDAL RESOURCES  BERHAD (816839-X)</v>
      </c>
      <c r="C1" s="246"/>
      <c r="D1" s="246"/>
      <c r="E1" s="246"/>
      <c r="F1" s="246"/>
      <c r="G1" s="246"/>
      <c r="H1" s="246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215</v>
      </c>
      <c r="C3" s="68"/>
      <c r="D3" s="68"/>
      <c r="E3" s="68"/>
      <c r="F3" s="68"/>
      <c r="G3" s="68"/>
      <c r="H3" s="68"/>
    </row>
    <row r="4" s="69" customFormat="1" ht="15.75">
      <c r="B4" s="67" t="s">
        <v>262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119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261</v>
      </c>
      <c r="F8" s="70"/>
      <c r="G8" s="71" t="s">
        <v>244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5.75">
      <c r="B12" s="67" t="s">
        <v>35</v>
      </c>
      <c r="C12" s="105"/>
      <c r="D12" s="68"/>
      <c r="E12" s="68"/>
      <c r="F12" s="68"/>
      <c r="G12" s="68"/>
    </row>
    <row r="13" spans="2:8" s="69" customFormat="1" ht="12.75" customHeight="1">
      <c r="B13" s="72" t="s">
        <v>112</v>
      </c>
      <c r="C13" s="106">
        <f>'[3]1conso-YTD'!$N$65</f>
        <v>27678.76659</v>
      </c>
      <c r="D13" s="73"/>
      <c r="E13" s="106">
        <f>'[7]1conso-YTD'!$T$67+'[7]1conso-YTD'!$T$68</f>
        <v>61149.25246</v>
      </c>
      <c r="F13" s="73"/>
      <c r="G13" s="106">
        <f>51402190/1000</f>
        <v>51402.19</v>
      </c>
      <c r="H13" s="74"/>
    </row>
    <row r="14" spans="2:8" s="69" customFormat="1" ht="12.75" customHeight="1">
      <c r="B14" s="72" t="s">
        <v>251</v>
      </c>
      <c r="C14" s="106"/>
      <c r="D14" s="73"/>
      <c r="E14" s="106">
        <f>'[7]1conso-YTD'!$T$69</f>
        <v>11958.692</v>
      </c>
      <c r="F14" s="73"/>
      <c r="G14" s="179">
        <f>11958567/1000</f>
        <v>11958.567</v>
      </c>
      <c r="H14" s="74"/>
    </row>
    <row r="15" spans="2:8" s="69" customFormat="1" ht="15.75" thickBot="1">
      <c r="B15" s="72" t="s">
        <v>150</v>
      </c>
      <c r="C15" s="107">
        <f>'[3]1conso-YTD'!$N$71</f>
        <v>373.97199</v>
      </c>
      <c r="D15" s="73"/>
      <c r="E15" s="107">
        <f>'[7]1conso-YTD'!$T$74</f>
        <v>373.969</v>
      </c>
      <c r="F15" s="73"/>
      <c r="G15" s="107">
        <f>373969/1000</f>
        <v>373.969</v>
      </c>
      <c r="H15" s="75"/>
    </row>
    <row r="16" spans="2:8" s="69" customFormat="1" ht="16.5" thickBot="1">
      <c r="B16" s="76"/>
      <c r="C16" s="107">
        <f>SUM(C13:C15)</f>
        <v>28052.738579999997</v>
      </c>
      <c r="D16" s="73"/>
      <c r="E16" s="114">
        <f>SUM(E13:E15)</f>
        <v>73481.91346</v>
      </c>
      <c r="F16" s="73"/>
      <c r="G16" s="107">
        <f>SUM(G13:G15)</f>
        <v>63734.725999999995</v>
      </c>
      <c r="H16" s="75"/>
    </row>
    <row r="17" spans="2:8" s="69" customFormat="1" ht="15">
      <c r="B17" s="72"/>
      <c r="C17" s="108"/>
      <c r="D17" s="77"/>
      <c r="E17" s="108"/>
      <c r="F17" s="77"/>
      <c r="G17" s="108"/>
      <c r="H17" s="75"/>
    </row>
    <row r="18" spans="2:8" s="69" customFormat="1" ht="15">
      <c r="B18" s="72"/>
      <c r="C18" s="108"/>
      <c r="D18" s="77"/>
      <c r="E18" s="108"/>
      <c r="F18" s="77"/>
      <c r="G18" s="108"/>
      <c r="H18" s="75"/>
    </row>
    <row r="19" spans="2:8" s="69" customFormat="1" ht="15.75">
      <c r="B19" s="76" t="s">
        <v>4</v>
      </c>
      <c r="C19" s="108"/>
      <c r="D19" s="77"/>
      <c r="E19" s="108"/>
      <c r="F19" s="77"/>
      <c r="G19" s="108"/>
      <c r="H19" s="75"/>
    </row>
    <row r="20" spans="2:8" s="69" customFormat="1" ht="15">
      <c r="B20" s="75" t="s">
        <v>54</v>
      </c>
      <c r="C20" s="106">
        <f>'[3]1conso-YTD'!$N$75</f>
        <v>5239.74082</v>
      </c>
      <c r="D20" s="73"/>
      <c r="E20" s="106">
        <f>'[7]1conso-YTD'!$T$79</f>
        <v>8897.57416</v>
      </c>
      <c r="F20" s="73"/>
      <c r="G20" s="106">
        <f>5703219/1000</f>
        <v>5703.219</v>
      </c>
      <c r="H20" s="75"/>
    </row>
    <row r="21" spans="2:8" s="69" customFormat="1" ht="15">
      <c r="B21" s="75" t="s">
        <v>53</v>
      </c>
      <c r="C21" s="106">
        <f>'[3]1conso-YTD'!$N$77</f>
        <v>17984.309699999994</v>
      </c>
      <c r="D21" s="73"/>
      <c r="E21" s="106">
        <f>'[7]1conso-YTD'!$T$81-3946</f>
        <v>5483.693359999999</v>
      </c>
      <c r="F21" s="73"/>
      <c r="G21" s="106">
        <f>6467736/1000</f>
        <v>6467.736</v>
      </c>
      <c r="H21" s="75"/>
    </row>
    <row r="22" spans="2:8" s="69" customFormat="1" ht="15">
      <c r="B22" s="75" t="s">
        <v>113</v>
      </c>
      <c r="C22" s="106">
        <f>'[3]1conso-YTD'!$N$78</f>
        <v>18688.837959999997</v>
      </c>
      <c r="D22" s="73"/>
      <c r="E22" s="106">
        <f>'[7]1conso-YTD'!$T$82</f>
        <v>20282.861230000002</v>
      </c>
      <c r="F22" s="73"/>
      <c r="G22" s="106">
        <f>25614275/1000</f>
        <v>25614.275</v>
      </c>
      <c r="H22" s="75"/>
    </row>
    <row r="23" spans="2:8" s="69" customFormat="1" ht="15">
      <c r="B23" s="75" t="s">
        <v>252</v>
      </c>
      <c r="C23" s="106"/>
      <c r="D23" s="73"/>
      <c r="E23" s="106">
        <v>324</v>
      </c>
      <c r="F23" s="73"/>
      <c r="G23" s="106">
        <f>323950/1000</f>
        <v>323.95</v>
      </c>
      <c r="H23" s="75"/>
    </row>
    <row r="24" spans="2:8" s="69" customFormat="1" ht="15">
      <c r="B24" s="75" t="s">
        <v>253</v>
      </c>
      <c r="C24" s="106">
        <f>'[3]1conso-YTD'!$N$76</f>
        <v>199</v>
      </c>
      <c r="D24" s="73"/>
      <c r="E24" s="179">
        <f>'[7]1conso-YTD'!$T$80+3946</f>
        <v>8615.22163</v>
      </c>
      <c r="F24" s="73"/>
      <c r="G24" s="106">
        <f>9626114/1000</f>
        <v>9626.114</v>
      </c>
      <c r="H24" s="75"/>
    </row>
    <row r="25" spans="2:8" s="69" customFormat="1" ht="15">
      <c r="B25" s="75" t="s">
        <v>55</v>
      </c>
      <c r="C25" s="106">
        <f>'[3]1conso-YTD'!$N$80+'[3]1conso-YTD'!$N$81+750</f>
        <v>1382.37885</v>
      </c>
      <c r="D25" s="73"/>
      <c r="E25" s="106">
        <f>'[7]1conso-YTD'!$T$84+'[7]1conso-YTD'!$T$85-E23</f>
        <v>5285.93576</v>
      </c>
      <c r="F25" s="73"/>
      <c r="G25" s="106">
        <f>4420731/1000</f>
        <v>4420.731</v>
      </c>
      <c r="H25" s="75"/>
    </row>
    <row r="26" spans="2:8" s="69" customFormat="1" ht="15">
      <c r="B26" s="75" t="s">
        <v>254</v>
      </c>
      <c r="C26" s="106"/>
      <c r="D26" s="73"/>
      <c r="E26" s="220">
        <f>'[7]1conso-YTD'!$T$89</f>
        <v>11423.29425</v>
      </c>
      <c r="F26" s="73"/>
      <c r="G26" s="179">
        <f>17580655/1000</f>
        <v>17580.655</v>
      </c>
      <c r="H26" s="75"/>
    </row>
    <row r="27" spans="2:8" s="69" customFormat="1" ht="15">
      <c r="B27" s="75" t="s">
        <v>162</v>
      </c>
      <c r="C27" s="106">
        <f>'[3]1conso-YTD'!$N$82</f>
        <v>29349.86621</v>
      </c>
      <c r="D27" s="73"/>
      <c r="E27" s="106">
        <f>'[7]1conso-YTD'!$T$86</f>
        <v>7079.820769999999</v>
      </c>
      <c r="F27" s="73"/>
      <c r="G27" s="106">
        <f>7975341/1000</f>
        <v>7975.341</v>
      </c>
      <c r="H27" s="75"/>
    </row>
    <row r="28" spans="2:8" s="69" customFormat="1" ht="15">
      <c r="B28" s="75" t="s">
        <v>255</v>
      </c>
      <c r="C28" s="106"/>
      <c r="D28" s="73"/>
      <c r="E28" s="106">
        <f>'[7]1conso-YTD'!$T$87</f>
        <v>12947.660820000001</v>
      </c>
      <c r="F28" s="73"/>
      <c r="G28" s="106">
        <f>12511893/1000</f>
        <v>12511.893</v>
      </c>
      <c r="H28" s="75"/>
    </row>
    <row r="29" spans="2:8" s="69" customFormat="1" ht="15.75" thickBot="1">
      <c r="B29" s="75" t="s">
        <v>147</v>
      </c>
      <c r="C29" s="117">
        <f>'[3]1conso-YTD'!$N$83</f>
        <v>3943.64952</v>
      </c>
      <c r="D29" s="73"/>
      <c r="E29" s="106">
        <f>'[7]1conso-YTD'!$T$88</f>
        <v>10937.14711</v>
      </c>
      <c r="F29" s="73"/>
      <c r="G29" s="106">
        <f>12247046/1000</f>
        <v>12247.046</v>
      </c>
      <c r="H29" s="75"/>
    </row>
    <row r="30" spans="2:8" s="69" customFormat="1" ht="15.75" thickBot="1">
      <c r="B30" s="72" t="s">
        <v>256</v>
      </c>
      <c r="C30" s="108"/>
      <c r="D30" s="77"/>
      <c r="E30" s="108">
        <f>'[7]1conso-YTD'!$T$78</f>
        <v>5000</v>
      </c>
      <c r="F30" s="77"/>
      <c r="G30" s="218">
        <f>5000000/1000</f>
        <v>5000</v>
      </c>
      <c r="H30" s="75"/>
    </row>
    <row r="31" spans="2:8" s="69" customFormat="1" ht="15.75" thickBot="1">
      <c r="B31" s="72"/>
      <c r="C31" s="107">
        <f>SUM(C20:C29)+0.5</f>
        <v>76788.28306</v>
      </c>
      <c r="D31" s="77"/>
      <c r="E31" s="114">
        <f>SUM(E20:E30)-2</f>
        <v>96275.20909000002</v>
      </c>
      <c r="F31" s="77"/>
      <c r="G31" s="107">
        <f>SUM(G20:G30)</f>
        <v>107470.95999999999</v>
      </c>
      <c r="H31" s="75"/>
    </row>
    <row r="32" spans="2:8" s="69" customFormat="1" ht="15">
      <c r="B32" s="72"/>
      <c r="C32" s="108"/>
      <c r="D32" s="77"/>
      <c r="E32" s="108"/>
      <c r="F32" s="77"/>
      <c r="G32" s="108"/>
      <c r="H32" s="75"/>
    </row>
    <row r="33" spans="2:8" s="69" customFormat="1" ht="16.5" thickBot="1">
      <c r="B33" s="76" t="s">
        <v>36</v>
      </c>
      <c r="C33" s="109">
        <f>+C31+C16</f>
        <v>104841.02163999999</v>
      </c>
      <c r="D33" s="77"/>
      <c r="E33" s="109">
        <f>+E31+E16</f>
        <v>169757.12255000003</v>
      </c>
      <c r="F33" s="77"/>
      <c r="G33" s="109">
        <f>G16+G31</f>
        <v>171205.686</v>
      </c>
      <c r="H33" s="75"/>
    </row>
    <row r="34" spans="2:8" s="69" customFormat="1" ht="15.75" thickTop="1">
      <c r="B34" s="72"/>
      <c r="C34" s="108"/>
      <c r="D34" s="77"/>
      <c r="E34" s="108"/>
      <c r="F34" s="77"/>
      <c r="G34" s="108"/>
      <c r="H34" s="75"/>
    </row>
    <row r="35" spans="2:8" s="69" customFormat="1" ht="15.75">
      <c r="B35" s="76" t="s">
        <v>37</v>
      </c>
      <c r="C35" s="108"/>
      <c r="D35" s="77"/>
      <c r="E35" s="108"/>
      <c r="F35" s="77"/>
      <c r="G35" s="108"/>
      <c r="H35" s="75"/>
    </row>
    <row r="36" spans="2:8" s="69" customFormat="1" ht="15.75">
      <c r="B36" s="76" t="s">
        <v>56</v>
      </c>
      <c r="C36" s="108"/>
      <c r="D36" s="77"/>
      <c r="E36" s="108"/>
      <c r="F36" s="77"/>
      <c r="G36" s="108"/>
      <c r="H36" s="75"/>
    </row>
    <row r="37" spans="2:8" s="69" customFormat="1" ht="15">
      <c r="B37" s="75" t="s">
        <v>57</v>
      </c>
      <c r="C37" s="106">
        <f>'[3]1conso-YTD'!$N$95</f>
        <v>45000</v>
      </c>
      <c r="D37" s="73"/>
      <c r="E37" s="106">
        <f>'[7]1conso-YTD'!$T$104</f>
        <v>79999.99999999999</v>
      </c>
      <c r="F37" s="73"/>
      <c r="G37" s="106">
        <f>80000000/1000</f>
        <v>80000</v>
      </c>
      <c r="H37" s="75"/>
    </row>
    <row r="38" spans="2:8" s="69" customFormat="1" ht="15">
      <c r="B38" s="75" t="s">
        <v>142</v>
      </c>
      <c r="C38" s="106">
        <f>'[3]1conso-YTD'!$N$97</f>
        <v>1549.57636</v>
      </c>
      <c r="D38" s="73"/>
      <c r="E38" s="179">
        <f>'[7]1conso-YTD'!$T$106</f>
        <v>0</v>
      </c>
      <c r="F38" s="221"/>
      <c r="G38" s="179">
        <v>0</v>
      </c>
      <c r="H38" s="75"/>
    </row>
    <row r="39" spans="2:8" s="69" customFormat="1" ht="15.75" thickBot="1">
      <c r="B39" s="75" t="s">
        <v>114</v>
      </c>
      <c r="C39" s="107">
        <f>'[3]1conso-YTD'!$N$98+750</f>
        <v>12847.421649</v>
      </c>
      <c r="D39" s="73"/>
      <c r="E39" s="208">
        <f>'[7]1conso-YTD'!$T$107</f>
        <v>22416.441960279994</v>
      </c>
      <c r="F39" s="73"/>
      <c r="G39" s="107">
        <f>18921691/1000</f>
        <v>18921.691</v>
      </c>
      <c r="H39" s="75"/>
    </row>
    <row r="40" spans="2:8" s="69" customFormat="1" ht="15">
      <c r="B40" s="75" t="s">
        <v>152</v>
      </c>
      <c r="C40" s="135">
        <f>SUM(C37:C39)</f>
        <v>59396.998009</v>
      </c>
      <c r="D40" s="77"/>
      <c r="E40" s="209">
        <f>SUM(E37:E39)</f>
        <v>102416.44196027998</v>
      </c>
      <c r="F40" s="77"/>
      <c r="G40" s="135">
        <f>SUM(G37:G39)</f>
        <v>98921.69099999999</v>
      </c>
      <c r="H40" s="75"/>
    </row>
    <row r="41" spans="2:8" s="69" customFormat="1" ht="15">
      <c r="B41" s="75" t="s">
        <v>153</v>
      </c>
      <c r="C41" s="106">
        <f>'[3]1conso-YTD'!$N$101</f>
        <v>-2.369579</v>
      </c>
      <c r="D41" s="73"/>
      <c r="E41" s="210">
        <f>'[7]1conso-YTD'!$T$110</f>
        <v>17.14684972</v>
      </c>
      <c r="F41" s="73"/>
      <c r="G41" s="179">
        <f>5535/1000</f>
        <v>5.535</v>
      </c>
      <c r="H41" s="75"/>
    </row>
    <row r="42" spans="2:8" s="69" customFormat="1" ht="15.75" thickBot="1">
      <c r="B42" s="75" t="s">
        <v>120</v>
      </c>
      <c r="C42" s="136">
        <f>SUM(C40:C41)</f>
        <v>59394.628430000004</v>
      </c>
      <c r="D42" s="77"/>
      <c r="E42" s="211">
        <f>SUM(E40:E41)-1</f>
        <v>102432.58880999997</v>
      </c>
      <c r="F42" s="77"/>
      <c r="G42" s="136">
        <f>SUM(G40:G41)</f>
        <v>98927.226</v>
      </c>
      <c r="H42" s="75"/>
    </row>
    <row r="43" spans="2:8" s="69" customFormat="1" ht="15.75">
      <c r="B43" s="78"/>
      <c r="C43" s="106"/>
      <c r="D43" s="77"/>
      <c r="E43" s="108"/>
      <c r="F43" s="77"/>
      <c r="G43" s="106"/>
      <c r="H43" s="75"/>
    </row>
    <row r="44" spans="2:8" s="69" customFormat="1" ht="15.75">
      <c r="B44" s="78" t="s">
        <v>38</v>
      </c>
      <c r="C44" s="106"/>
      <c r="D44" s="77"/>
      <c r="E44" s="108"/>
      <c r="F44" s="77"/>
      <c r="G44" s="106"/>
      <c r="H44" s="75"/>
    </row>
    <row r="45" spans="2:8" s="69" customFormat="1" ht="15">
      <c r="B45" s="75" t="s">
        <v>58</v>
      </c>
      <c r="C45" s="106">
        <f>'[3]1conso-YTD'!$N$106</f>
        <v>128</v>
      </c>
      <c r="D45" s="73"/>
      <c r="E45" s="106">
        <f>'[5]1conso-YTD'!$T$115+72</f>
        <v>200</v>
      </c>
      <c r="F45" s="73"/>
      <c r="G45" s="106">
        <f>200498/1000</f>
        <v>200.498</v>
      </c>
      <c r="H45" s="75"/>
    </row>
    <row r="46" spans="2:8" s="69" customFormat="1" ht="15">
      <c r="B46" s="75" t="s">
        <v>115</v>
      </c>
      <c r="C46" s="106">
        <f>'[3]1conso-YTD'!$N$107-5000</f>
        <v>16845.727010000002</v>
      </c>
      <c r="D46" s="73"/>
      <c r="E46" s="106">
        <f>'[7]1conso-YTD'!$T$116</f>
        <v>34661.33448</v>
      </c>
      <c r="F46" s="73"/>
      <c r="G46" s="106">
        <f>32349256/1000</f>
        <v>32349.256</v>
      </c>
      <c r="H46" s="75"/>
    </row>
    <row r="47" spans="2:8" s="69" customFormat="1" ht="15.75" thickBot="1">
      <c r="B47" s="75" t="s">
        <v>116</v>
      </c>
      <c r="C47" s="107">
        <f>'[3]1conso-YTD'!$N$108</f>
        <v>1143.5</v>
      </c>
      <c r="D47" s="73"/>
      <c r="E47" s="107">
        <f>'[7]1conso-YTD'!$T$117</f>
        <v>1723.5</v>
      </c>
      <c r="F47" s="73"/>
      <c r="G47" s="107">
        <f>1723900/1000</f>
        <v>1723.9</v>
      </c>
      <c r="H47" s="75"/>
    </row>
    <row r="48" spans="2:8" s="69" customFormat="1" ht="16.5" thickBot="1">
      <c r="B48" s="78"/>
      <c r="C48" s="107">
        <f>SUM(C45:C47)</f>
        <v>18117.227010000002</v>
      </c>
      <c r="D48" s="77"/>
      <c r="E48" s="114">
        <f>SUM(E45:E47)</f>
        <v>36584.83448</v>
      </c>
      <c r="F48" s="77"/>
      <c r="G48" s="114">
        <f>SUM(G45:G47)</f>
        <v>34273.654</v>
      </c>
      <c r="H48" s="75"/>
    </row>
    <row r="49" spans="2:8" s="69" customFormat="1" ht="15.75">
      <c r="B49" s="78"/>
      <c r="C49" s="106"/>
      <c r="D49" s="77"/>
      <c r="E49" s="108"/>
      <c r="F49" s="77"/>
      <c r="G49" s="106"/>
      <c r="H49" s="75"/>
    </row>
    <row r="50" spans="2:8" s="69" customFormat="1" ht="15.75">
      <c r="B50" s="78" t="s">
        <v>39</v>
      </c>
      <c r="C50" s="108"/>
      <c r="D50" s="77"/>
      <c r="E50" s="108"/>
      <c r="F50" s="77"/>
      <c r="G50" s="108"/>
      <c r="H50" s="75"/>
    </row>
    <row r="51" spans="2:8" s="69" customFormat="1" ht="15">
      <c r="B51" s="75" t="s">
        <v>237</v>
      </c>
      <c r="C51" s="108"/>
      <c r="D51" s="77"/>
      <c r="E51" s="180">
        <f>'[7]1conso-YTD'!$T$120</f>
        <v>0</v>
      </c>
      <c r="F51" s="77"/>
      <c r="G51" s="180">
        <f>151000/1000</f>
        <v>151</v>
      </c>
      <c r="H51" s="75"/>
    </row>
    <row r="52" spans="2:8" s="69" customFormat="1" ht="15">
      <c r="B52" s="72" t="s">
        <v>59</v>
      </c>
      <c r="C52" s="106">
        <f>'[3]1conso-YTD'!$N$111</f>
        <v>8518.03714</v>
      </c>
      <c r="D52" s="73"/>
      <c r="E52" s="106">
        <f>'[7]1conso-YTD'!$T$121</f>
        <v>10656.60637</v>
      </c>
      <c r="F52" s="73"/>
      <c r="G52" s="106">
        <f>12374591/1000</f>
        <v>12374.591</v>
      </c>
      <c r="H52" s="75"/>
    </row>
    <row r="53" spans="2:8" s="69" customFormat="1" ht="15">
      <c r="B53" s="72" t="s">
        <v>117</v>
      </c>
      <c r="C53" s="106">
        <f>'[3]1conso-YTD'!$N$112</f>
        <v>2186.2584</v>
      </c>
      <c r="D53" s="73"/>
      <c r="E53" s="210">
        <f>'[7]1conso-YTD'!$T$122</f>
        <v>9182.292499999998</v>
      </c>
      <c r="F53" s="73"/>
      <c r="G53" s="106">
        <f>9694539/1000</f>
        <v>9694.539</v>
      </c>
      <c r="H53" s="75"/>
    </row>
    <row r="54" spans="2:8" s="69" customFormat="1" ht="15">
      <c r="B54" s="72" t="s">
        <v>58</v>
      </c>
      <c r="C54" s="106">
        <f>'[3]1conso-YTD'!$N$113</f>
        <v>311.98563</v>
      </c>
      <c r="D54" s="73"/>
      <c r="E54" s="106">
        <f>'[7]1conso-YTD'!$T$123-72</f>
        <v>45.29469</v>
      </c>
      <c r="F54" s="73"/>
      <c r="G54" s="106">
        <f>94999/1000</f>
        <v>94.999</v>
      </c>
      <c r="H54" s="75"/>
    </row>
    <row r="55" spans="2:8" s="69" customFormat="1" ht="15">
      <c r="B55" s="72" t="s">
        <v>60</v>
      </c>
      <c r="C55" s="106">
        <f>'[3]1conso-YTD'!$N$114+5000</f>
        <v>17328.22855</v>
      </c>
      <c r="D55" s="73"/>
      <c r="E55" s="106">
        <f>'[7]1conso-YTD'!$T$124</f>
        <v>10855</v>
      </c>
      <c r="F55" s="73"/>
      <c r="G55" s="106">
        <f>15689677/1000</f>
        <v>15689.677</v>
      </c>
      <c r="H55" s="75"/>
    </row>
    <row r="56" spans="2:8" s="69" customFormat="1" ht="15.75" thickBot="1">
      <c r="B56" s="72" t="s">
        <v>61</v>
      </c>
      <c r="C56" s="106">
        <f>'[3]1conso-YTD'!$N$115</f>
        <v>1489.59725</v>
      </c>
      <c r="D56" s="73"/>
      <c r="E56" s="219">
        <v>0</v>
      </c>
      <c r="F56" s="73"/>
      <c r="G56" s="218">
        <v>0</v>
      </c>
      <c r="H56" s="75"/>
    </row>
    <row r="57" spans="2:8" s="69" customFormat="1" ht="15.75" thickBot="1">
      <c r="B57" s="75"/>
      <c r="C57" s="114">
        <f>SUM(C52:C56)</f>
        <v>29834.10697</v>
      </c>
      <c r="D57" s="77"/>
      <c r="E57" s="114">
        <f>SUM(E51:E56)</f>
        <v>30739.193559999996</v>
      </c>
      <c r="F57" s="77"/>
      <c r="G57" s="114">
        <f>SUM(G51:G56)</f>
        <v>38004.806</v>
      </c>
      <c r="H57" s="75"/>
    </row>
    <row r="58" spans="2:8" s="69" customFormat="1" ht="12.75" customHeight="1">
      <c r="B58" s="75"/>
      <c r="C58" s="108"/>
      <c r="D58" s="77"/>
      <c r="E58" s="108"/>
      <c r="F58" s="77"/>
      <c r="G58" s="108"/>
      <c r="H58" s="75"/>
    </row>
    <row r="59" spans="2:8" s="69" customFormat="1" ht="15.75">
      <c r="B59" s="78" t="s">
        <v>40</v>
      </c>
      <c r="C59" s="108">
        <f>+C57+C48</f>
        <v>47951.33398</v>
      </c>
      <c r="D59" s="77"/>
      <c r="E59" s="108">
        <f>+E57+E48</f>
        <v>67324.02803999999</v>
      </c>
      <c r="F59" s="77"/>
      <c r="G59" s="108">
        <f>G48+G57</f>
        <v>72278.45999999999</v>
      </c>
      <c r="H59" s="75"/>
    </row>
    <row r="60" spans="3:8" s="69" customFormat="1" ht="12.75" customHeight="1">
      <c r="C60" s="108"/>
      <c r="D60" s="77"/>
      <c r="E60" s="108"/>
      <c r="F60" s="77"/>
      <c r="G60" s="108"/>
      <c r="H60" s="75"/>
    </row>
    <row r="61" spans="2:8" s="69" customFormat="1" ht="16.5" thickBot="1">
      <c r="B61" s="67" t="s">
        <v>41</v>
      </c>
      <c r="C61" s="109">
        <f>C59+C42</f>
        <v>107345.96241000001</v>
      </c>
      <c r="D61" s="70"/>
      <c r="E61" s="109">
        <f>E59+E42</f>
        <v>169756.61684999996</v>
      </c>
      <c r="F61" s="70"/>
      <c r="G61" s="109">
        <f>G42+G59</f>
        <v>171205.686</v>
      </c>
      <c r="H61" s="75"/>
    </row>
    <row r="62" spans="2:8" s="69" customFormat="1" ht="16.5" thickTop="1">
      <c r="B62" s="67"/>
      <c r="C62" s="73"/>
      <c r="D62" s="77"/>
      <c r="E62" s="77"/>
      <c r="F62" s="77"/>
      <c r="G62" s="73"/>
      <c r="H62" s="75"/>
    </row>
    <row r="63" spans="2:8" s="69" customFormat="1" ht="15.75">
      <c r="B63" s="67"/>
      <c r="D63" s="73"/>
      <c r="E63" s="73"/>
      <c r="F63" s="73"/>
      <c r="G63" s="73"/>
      <c r="H63" s="75"/>
    </row>
    <row r="64" spans="2:8" s="69" customFormat="1" ht="15" hidden="1">
      <c r="B64" s="69" t="s">
        <v>6</v>
      </c>
      <c r="C64" s="79" t="e">
        <f>+(+#REF!-C17+#REF!)/43560</f>
        <v>#REF!</v>
      </c>
      <c r="D64" s="79"/>
      <c r="E64" s="79"/>
      <c r="F64" s="79"/>
      <c r="G64" s="79" t="e">
        <f>+(+#REF!-G17+#REF!)/43560</f>
        <v>#REF!</v>
      </c>
      <c r="H64" s="75"/>
    </row>
    <row r="65" spans="2:8" s="69" customFormat="1" ht="15">
      <c r="B65" s="247" t="s">
        <v>129</v>
      </c>
      <c r="C65" s="79"/>
      <c r="D65" s="79"/>
      <c r="E65" s="79"/>
      <c r="F65" s="79"/>
      <c r="G65" s="79"/>
      <c r="H65" s="75"/>
    </row>
    <row r="66" spans="2:8" s="69" customFormat="1" ht="15">
      <c r="B66" s="247"/>
      <c r="C66" s="79">
        <f>+C40/90000</f>
        <v>0.6599666445444444</v>
      </c>
      <c r="D66" s="79"/>
      <c r="E66" s="79">
        <f>+E40/160000</f>
        <v>0.6401027622517499</v>
      </c>
      <c r="F66" s="79"/>
      <c r="G66" s="79">
        <f>G40/90000</f>
        <v>1.0991298999999999</v>
      </c>
      <c r="H66" s="75"/>
    </row>
    <row r="67" s="69" customFormat="1" ht="9.75" customHeight="1">
      <c r="B67" s="80"/>
    </row>
    <row r="68" spans="1:11" s="69" customFormat="1" ht="15">
      <c r="A68" s="81" t="s">
        <v>125</v>
      </c>
      <c r="B68" s="69" t="s">
        <v>216</v>
      </c>
      <c r="C68" s="82"/>
      <c r="D68" s="82"/>
      <c r="E68" s="82"/>
      <c r="F68" s="82"/>
      <c r="G68" s="82"/>
      <c r="H68" s="82"/>
      <c r="I68" s="82"/>
      <c r="J68" s="82"/>
      <c r="K68" s="82"/>
    </row>
    <row r="69" spans="2:11" s="69" customFormat="1" ht="15">
      <c r="B69" s="69" t="s">
        <v>249</v>
      </c>
      <c r="C69" s="82"/>
      <c r="D69" s="82"/>
      <c r="E69" s="82"/>
      <c r="F69" s="82"/>
      <c r="G69" s="82"/>
      <c r="H69" s="82"/>
      <c r="I69" s="82"/>
      <c r="J69" s="82"/>
      <c r="K69" s="82"/>
    </row>
    <row r="70" spans="2:11" s="69" customFormat="1" ht="15">
      <c r="B70" s="75"/>
      <c r="C70" s="82"/>
      <c r="D70" s="82"/>
      <c r="E70" s="82"/>
      <c r="F70" s="82"/>
      <c r="G70" s="82"/>
      <c r="H70" s="82"/>
      <c r="I70" s="82"/>
      <c r="J70" s="82"/>
      <c r="K70" s="82"/>
    </row>
    <row r="71" spans="1:9" s="69" customFormat="1" ht="15">
      <c r="A71" s="81" t="s">
        <v>126</v>
      </c>
      <c r="B71" s="69" t="s">
        <v>130</v>
      </c>
      <c r="C71" s="83"/>
      <c r="D71" s="83"/>
      <c r="E71" s="83"/>
      <c r="F71" s="83"/>
      <c r="G71" s="83"/>
      <c r="H71" s="83"/>
      <c r="I71" s="83"/>
    </row>
    <row r="72" spans="2:9" s="69" customFormat="1" ht="15">
      <c r="B72" s="84" t="s">
        <v>243</v>
      </c>
      <c r="C72" s="83"/>
      <c r="D72" s="83"/>
      <c r="E72" s="83"/>
      <c r="F72" s="83"/>
      <c r="G72" s="83"/>
      <c r="H72" s="83"/>
      <c r="I72" s="83"/>
    </row>
    <row r="73" spans="2:9" ht="12.75">
      <c r="B73" s="38"/>
      <c r="C73" s="11"/>
      <c r="D73" s="38"/>
      <c r="E73" s="38"/>
      <c r="F73" s="38"/>
      <c r="G73" s="38"/>
      <c r="H73" s="38"/>
      <c r="I73" s="38"/>
    </row>
    <row r="77" ht="12.75">
      <c r="C77" s="131"/>
    </row>
  </sheetData>
  <sheetProtection/>
  <mergeCells count="2">
    <mergeCell ref="B1:H1"/>
    <mergeCell ref="B65:B66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7" width="18.7109375" style="90" customWidth="1"/>
    <col min="8" max="8" width="22.7109375" style="90" customWidth="1"/>
    <col min="9" max="9" width="18.7109375" style="90" customWidth="1"/>
    <col min="10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259</v>
      </c>
    </row>
    <row r="5" s="92" customFormat="1" ht="15">
      <c r="B5" s="91"/>
    </row>
    <row r="6" s="92" customFormat="1" ht="15.75" thickBot="1">
      <c r="B6" s="91"/>
    </row>
    <row r="7" spans="3:9" s="92" customFormat="1" ht="20.25" customHeight="1" thickBot="1">
      <c r="C7" s="248" t="s">
        <v>121</v>
      </c>
      <c r="D7" s="249"/>
      <c r="E7" s="249"/>
      <c r="F7" s="249"/>
      <c r="G7" s="249"/>
      <c r="H7" s="249"/>
      <c r="I7" s="250"/>
    </row>
    <row r="8" s="92" customFormat="1" ht="12.75" customHeight="1" hidden="1"/>
    <row r="9" s="92" customFormat="1" ht="12.75" customHeight="1" hidden="1"/>
    <row r="10" spans="3:9" s="92" customFormat="1" ht="15" customHeight="1">
      <c r="C10" s="93"/>
      <c r="D10" s="93"/>
      <c r="E10" s="93"/>
      <c r="F10" s="93"/>
      <c r="G10" s="93"/>
      <c r="H10" s="88"/>
      <c r="I10" s="93"/>
    </row>
    <row r="11" spans="3:9" s="92" customFormat="1" ht="15" customHeight="1">
      <c r="C11" s="93"/>
      <c r="D11" s="93"/>
      <c r="E11" s="93"/>
      <c r="F11" s="93"/>
      <c r="G11" s="93"/>
      <c r="H11" s="100"/>
      <c r="I11" s="100"/>
    </row>
    <row r="12" spans="3:9" s="92" customFormat="1" ht="15" customHeight="1">
      <c r="C12" s="93" t="s">
        <v>5</v>
      </c>
      <c r="D12" s="93" t="s">
        <v>10</v>
      </c>
      <c r="E12" s="93" t="s">
        <v>257</v>
      </c>
      <c r="F12" s="101" t="s">
        <v>11</v>
      </c>
      <c r="G12" s="93" t="s">
        <v>152</v>
      </c>
      <c r="H12" s="101" t="s">
        <v>214</v>
      </c>
      <c r="I12" s="101" t="s">
        <v>62</v>
      </c>
    </row>
    <row r="13" spans="3:9" s="92" customFormat="1" ht="15" customHeight="1">
      <c r="C13" s="93"/>
      <c r="D13" s="93"/>
      <c r="E13" s="93"/>
      <c r="F13" s="100"/>
      <c r="G13" s="93"/>
      <c r="H13" s="100"/>
      <c r="I13" s="100"/>
    </row>
    <row r="14" spans="3:9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3</v>
      </c>
    </row>
    <row r="15" spans="3:9" s="92" customFormat="1" ht="15" customHeight="1">
      <c r="C15" s="93"/>
      <c r="D15" s="93"/>
      <c r="E15" s="93"/>
      <c r="F15" s="93"/>
      <c r="G15" s="93"/>
      <c r="H15" s="93"/>
      <c r="I15" s="93"/>
    </row>
    <row r="16" spans="2:9" s="92" customFormat="1" ht="15" customHeight="1">
      <c r="B16" s="91" t="s">
        <v>248</v>
      </c>
      <c r="C16" s="110">
        <f>80000000/1000</f>
        <v>80000</v>
      </c>
      <c r="D16" s="110">
        <v>0</v>
      </c>
      <c r="E16" s="110">
        <f>6600000/1000</f>
        <v>6600</v>
      </c>
      <c r="F16" s="110">
        <f>12321691/1000</f>
        <v>12321.691</v>
      </c>
      <c r="G16" s="110">
        <f>SUM(C16:F16)</f>
        <v>98921.691</v>
      </c>
      <c r="H16" s="110">
        <f>5535/1000-1</f>
        <v>4.535</v>
      </c>
      <c r="I16" s="110">
        <f>SUM(G16:H16)+1</f>
        <v>98927.22600000001</v>
      </c>
    </row>
    <row r="17" spans="2:9" s="92" customFormat="1" ht="15" customHeight="1">
      <c r="B17" s="91"/>
      <c r="C17" s="110"/>
      <c r="D17" s="110"/>
      <c r="E17" s="110"/>
      <c r="F17" s="110"/>
      <c r="G17" s="110"/>
      <c r="H17" s="110"/>
      <c r="I17" s="110"/>
    </row>
    <row r="18" spans="2:9" s="92" customFormat="1" ht="15" customHeight="1">
      <c r="B18" s="92" t="s">
        <v>238</v>
      </c>
      <c r="C18" s="94"/>
      <c r="D18" s="212"/>
      <c r="E18" s="212"/>
      <c r="F18" s="212">
        <v>3494</v>
      </c>
      <c r="G18" s="212">
        <f>SUM(C18:F18)</f>
        <v>3494</v>
      </c>
      <c r="H18" s="212">
        <v>12</v>
      </c>
      <c r="I18" s="215">
        <f>SUM(G18:H18)</f>
        <v>3506</v>
      </c>
    </row>
    <row r="19" spans="3:9" s="92" customFormat="1" ht="15" customHeight="1">
      <c r="C19" s="94"/>
      <c r="D19" s="212"/>
      <c r="E19" s="212"/>
      <c r="F19" s="212"/>
      <c r="G19" s="212"/>
      <c r="H19" s="212"/>
      <c r="I19" s="212"/>
    </row>
    <row r="20" spans="2:10" s="92" customFormat="1" ht="15" customHeight="1" thickBot="1">
      <c r="B20" s="91" t="s">
        <v>263</v>
      </c>
      <c r="C20" s="95">
        <f aca="true" t="shared" si="0" ref="C20:H20">SUM(C16:C19)</f>
        <v>80000</v>
      </c>
      <c r="D20" s="213">
        <f t="shared" si="0"/>
        <v>0</v>
      </c>
      <c r="E20" s="95">
        <f t="shared" si="0"/>
        <v>6600</v>
      </c>
      <c r="F20" s="213">
        <f t="shared" si="0"/>
        <v>15815.691</v>
      </c>
      <c r="G20" s="213">
        <f t="shared" si="0"/>
        <v>102415.691</v>
      </c>
      <c r="H20" s="213">
        <f t="shared" si="0"/>
        <v>16.535</v>
      </c>
      <c r="I20" s="213">
        <f>SUM(I16:I19)</f>
        <v>102433.22600000001</v>
      </c>
      <c r="J20" s="96"/>
    </row>
    <row r="21" spans="3:9" s="92" customFormat="1" ht="15" customHeight="1" thickTop="1">
      <c r="C21" s="97"/>
      <c r="D21" s="214"/>
      <c r="E21" s="214"/>
      <c r="F21" s="214"/>
      <c r="G21" s="214"/>
      <c r="H21" s="214"/>
      <c r="I21" s="214"/>
    </row>
    <row r="22" spans="3:15" s="92" customFormat="1" ht="15" customHeight="1">
      <c r="C22" s="97"/>
      <c r="D22" s="97"/>
      <c r="E22" s="97"/>
      <c r="F22" s="97"/>
      <c r="G22" s="97"/>
      <c r="H22" s="97"/>
      <c r="I22" s="96"/>
      <c r="O22" s="97"/>
    </row>
    <row r="23" spans="2:15" s="92" customFormat="1" ht="15" customHeight="1" hidden="1">
      <c r="B23" s="92" t="s">
        <v>118</v>
      </c>
      <c r="C23" s="97"/>
      <c r="D23" s="97"/>
      <c r="E23" s="97"/>
      <c r="F23" s="97"/>
      <c r="G23" s="97"/>
      <c r="H23" s="97"/>
      <c r="J23" s="98"/>
      <c r="K23" s="98"/>
      <c r="L23" s="98"/>
      <c r="N23" s="98"/>
      <c r="O23" s="97"/>
    </row>
    <row r="24" spans="2:14" s="92" customFormat="1" ht="15" customHeight="1" hidden="1">
      <c r="B24" s="98"/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</row>
    <row r="25" spans="2:8" ht="12.75" hidden="1">
      <c r="B25" s="99"/>
      <c r="C25" s="99"/>
      <c r="D25" s="99"/>
      <c r="E25" s="99"/>
      <c r="F25" s="99"/>
      <c r="G25" s="99"/>
      <c r="H25" s="99"/>
    </row>
    <row r="26" spans="2:8" ht="12.75" hidden="1">
      <c r="B26" s="127" t="s">
        <v>148</v>
      </c>
      <c r="C26" s="99"/>
      <c r="D26" s="99"/>
      <c r="E26" s="99"/>
      <c r="F26" s="99"/>
      <c r="G26" s="99"/>
      <c r="H26" s="99"/>
    </row>
    <row r="27" spans="2:8" ht="14.25" hidden="1">
      <c r="B27" s="125" t="s">
        <v>151</v>
      </c>
      <c r="C27" s="126"/>
      <c r="D27" s="126"/>
      <c r="E27" s="126"/>
      <c r="F27" s="126"/>
      <c r="G27" s="126"/>
      <c r="H27" s="126"/>
    </row>
    <row r="28" spans="2:8" ht="14.25" hidden="1">
      <c r="B28" s="92" t="s">
        <v>149</v>
      </c>
      <c r="C28" s="92"/>
      <c r="D28" s="92"/>
      <c r="E28" s="92"/>
      <c r="F28" s="92"/>
      <c r="G28" s="92"/>
      <c r="H28" s="92"/>
    </row>
    <row r="29" spans="2:8" ht="14.25">
      <c r="B29" s="92"/>
      <c r="C29" s="92"/>
      <c r="D29" s="92"/>
      <c r="E29" s="92"/>
      <c r="F29" s="92"/>
      <c r="G29" s="92"/>
      <c r="H29" s="92"/>
    </row>
    <row r="30" spans="2:8" ht="14.25">
      <c r="B30" s="92" t="s">
        <v>223</v>
      </c>
      <c r="C30" s="92"/>
      <c r="D30" s="92"/>
      <c r="E30" s="92"/>
      <c r="F30" s="92"/>
      <c r="G30" s="92"/>
      <c r="H30" s="92"/>
    </row>
    <row r="31" spans="2:8" ht="14.25">
      <c r="B31" s="92" t="s">
        <v>249</v>
      </c>
      <c r="C31" s="92"/>
      <c r="D31" s="92"/>
      <c r="E31" s="92"/>
      <c r="F31" s="92"/>
      <c r="G31" s="92"/>
      <c r="H31" s="92"/>
    </row>
    <row r="32" ht="14.25">
      <c r="B32" s="98" t="s">
        <v>99</v>
      </c>
    </row>
    <row r="33" ht="14.25">
      <c r="B33" s="92"/>
    </row>
  </sheetData>
  <sheetProtection/>
  <mergeCells count="1">
    <mergeCell ref="C7:I7"/>
  </mergeCells>
  <printOptions gridLines="1"/>
  <pageMargins left="0.24" right="0.17" top="0.58" bottom="0.17" header="0.29" footer="0.1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statement'!J12</f>
        <v>30 June 2012</v>
      </c>
      <c r="E8" s="12"/>
      <c r="F8" s="5" t="str">
        <f>'Income statement'!K12</f>
        <v>30 June 2011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51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51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51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51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54" t="s">
        <v>18</v>
      </c>
      <c r="D6" s="255"/>
      <c r="E6" s="254" t="s">
        <v>19</v>
      </c>
      <c r="F6" s="255"/>
      <c r="H6" s="7"/>
    </row>
    <row r="7" spans="3:6" ht="12.75">
      <c r="C7" s="256" t="s">
        <v>20</v>
      </c>
      <c r="D7" s="256" t="s">
        <v>21</v>
      </c>
      <c r="E7" s="256" t="s">
        <v>23</v>
      </c>
      <c r="F7" s="256" t="s">
        <v>22</v>
      </c>
    </row>
    <row r="8" spans="3:6" ht="12.75">
      <c r="C8" s="256"/>
      <c r="D8" s="256"/>
      <c r="E8" s="256"/>
      <c r="F8" s="256"/>
    </row>
    <row r="9" spans="3:6" ht="12.75">
      <c r="C9" s="256"/>
      <c r="D9" s="256"/>
      <c r="E9" s="256"/>
      <c r="F9" s="256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statement'!J15</f>
        <v>43594.35974</v>
      </c>
      <c r="F14" s="9">
        <f>+'Income statement'!K15</f>
        <v>38384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statement'!J29</f>
        <v>4615.92148</v>
      </c>
      <c r="F16" s="9">
        <f>+'Income statement'!K29</f>
        <v>5319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52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52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53" t="s">
        <v>48</v>
      </c>
      <c r="C33" s="9"/>
      <c r="D33" s="9"/>
      <c r="E33" s="10">
        <f>+'balance sheet'!C66</f>
        <v>0.6599666445444444</v>
      </c>
      <c r="F33" s="10">
        <f>+'balance sheet'!G66</f>
        <v>1.0991298999999999</v>
      </c>
    </row>
    <row r="34" spans="2:6" ht="12.75">
      <c r="B34" s="253"/>
      <c r="C34" s="9"/>
      <c r="D34" s="9"/>
      <c r="E34" s="9"/>
      <c r="F34" s="9"/>
    </row>
    <row r="35" spans="2:6" ht="12.75">
      <c r="B35" s="253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53" customWidth="1"/>
    <col min="4" max="4" width="17.8515625" style="153" customWidth="1"/>
    <col min="5" max="5" width="11.00390625" style="0" customWidth="1"/>
  </cols>
  <sheetData>
    <row r="1" ht="15">
      <c r="B1" s="16" t="s">
        <v>172</v>
      </c>
    </row>
    <row r="2" ht="15">
      <c r="B2" s="16" t="s">
        <v>173</v>
      </c>
    </row>
    <row r="3" ht="15">
      <c r="B3" s="16" t="s">
        <v>174</v>
      </c>
    </row>
    <row r="4" ht="15">
      <c r="B4" s="16"/>
    </row>
    <row r="5" ht="15">
      <c r="B5" s="16" t="s">
        <v>175</v>
      </c>
    </row>
    <row r="6" ht="15">
      <c r="B6" s="16" t="s">
        <v>176</v>
      </c>
    </row>
    <row r="7" ht="14.25">
      <c r="B7" s="150"/>
    </row>
    <row r="8" spans="2:4" ht="15">
      <c r="B8" s="24"/>
      <c r="C8" s="17" t="s">
        <v>177</v>
      </c>
      <c r="D8" s="17">
        <v>2009</v>
      </c>
    </row>
    <row r="9" spans="2:4" ht="15">
      <c r="B9" s="24"/>
      <c r="C9" s="17"/>
      <c r="D9" s="17" t="s">
        <v>178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5">
        <v>1410509</v>
      </c>
    </row>
    <row r="17" spans="2:4" ht="14.25">
      <c r="B17" s="20" t="s">
        <v>65</v>
      </c>
      <c r="C17" s="19"/>
      <c r="D17" s="155">
        <v>968612</v>
      </c>
    </row>
    <row r="18" spans="2:4" ht="14.25">
      <c r="B18" s="20" t="s">
        <v>179</v>
      </c>
      <c r="C18" s="19"/>
      <c r="D18" s="155">
        <v>48152</v>
      </c>
    </row>
    <row r="19" spans="2:4" ht="14.25">
      <c r="B19" s="20" t="s">
        <v>66</v>
      </c>
      <c r="C19" s="19"/>
      <c r="D19" s="155">
        <v>29548</v>
      </c>
    </row>
    <row r="20" spans="2:4" ht="14.25">
      <c r="B20" s="20" t="s">
        <v>180</v>
      </c>
      <c r="C20" s="19"/>
      <c r="D20" s="155">
        <v>-38068</v>
      </c>
    </row>
    <row r="21" spans="2:4" ht="14.25">
      <c r="B21" s="20" t="s">
        <v>67</v>
      </c>
      <c r="C21" s="19"/>
      <c r="D21" s="155">
        <v>-381336</v>
      </c>
    </row>
    <row r="22" spans="2:5" ht="15" thickBot="1">
      <c r="B22" s="20" t="s">
        <v>181</v>
      </c>
      <c r="C22" s="19"/>
      <c r="D22" s="15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5">
        <v>14683053</v>
      </c>
    </row>
    <row r="25" spans="2:4" ht="14.25">
      <c r="B25" s="20"/>
      <c r="C25" s="19"/>
      <c r="D25" s="19"/>
    </row>
    <row r="26" spans="2:4" ht="14.25">
      <c r="B26" s="24" t="s">
        <v>182</v>
      </c>
      <c r="C26" s="19"/>
      <c r="D26" s="155">
        <v>1005378</v>
      </c>
    </row>
    <row r="27" spans="2:4" ht="14.25">
      <c r="B27" s="24" t="s">
        <v>183</v>
      </c>
      <c r="C27" s="19"/>
      <c r="D27" s="155">
        <v>2638376</v>
      </c>
    </row>
    <row r="28" spans="2:4" ht="14.25">
      <c r="B28" s="20" t="s">
        <v>143</v>
      </c>
      <c r="C28" s="19"/>
      <c r="D28" s="155">
        <v>-3186200</v>
      </c>
    </row>
    <row r="29" spans="2:4" ht="28.5">
      <c r="B29" s="20" t="s">
        <v>184</v>
      </c>
      <c r="C29" s="19"/>
      <c r="D29" s="155">
        <v>-1774921</v>
      </c>
    </row>
    <row r="30" spans="2:4" ht="28.5">
      <c r="B30" s="20" t="s">
        <v>131</v>
      </c>
      <c r="C30" s="19"/>
      <c r="D30" s="155">
        <v>1373389</v>
      </c>
    </row>
    <row r="31" spans="2:4" ht="14.25">
      <c r="B31" s="20" t="s">
        <v>69</v>
      </c>
      <c r="C31" s="19"/>
      <c r="D31" s="155">
        <v>189777</v>
      </c>
    </row>
    <row r="32" spans="2:4" ht="15" thickBot="1">
      <c r="B32" s="20" t="s">
        <v>132</v>
      </c>
      <c r="C32" s="19"/>
      <c r="D32" s="156">
        <v>-271731</v>
      </c>
    </row>
    <row r="33" spans="2:4" ht="14.25">
      <c r="B33" s="24"/>
      <c r="C33" s="19"/>
      <c r="D33" s="19"/>
    </row>
    <row r="34" spans="2:4" ht="14.25">
      <c r="B34" s="24" t="s">
        <v>185</v>
      </c>
      <c r="C34" s="19"/>
      <c r="D34" s="15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5">
        <v>-134101</v>
      </c>
    </row>
    <row r="37" spans="2:4" ht="15" thickBot="1">
      <c r="B37" s="18" t="s">
        <v>70</v>
      </c>
      <c r="C37" s="19"/>
      <c r="D37" s="156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6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186</v>
      </c>
      <c r="C42" s="19"/>
      <c r="D42" s="19"/>
    </row>
    <row r="43" spans="2:4" ht="14.25">
      <c r="B43" s="18" t="s">
        <v>187</v>
      </c>
      <c r="C43" s="19">
        <v>17</v>
      </c>
      <c r="D43" s="155">
        <v>15479479</v>
      </c>
    </row>
    <row r="44" spans="2:4" ht="14.25">
      <c r="B44" s="18" t="s">
        <v>188</v>
      </c>
      <c r="C44" s="19"/>
      <c r="D44" s="155">
        <v>381336</v>
      </c>
    </row>
    <row r="45" spans="2:4" ht="14.25">
      <c r="B45" s="18" t="s">
        <v>189</v>
      </c>
      <c r="C45" s="19"/>
      <c r="D45" s="155">
        <v>38068</v>
      </c>
    </row>
    <row r="46" spans="2:4" ht="14.25">
      <c r="B46" s="18" t="s">
        <v>90</v>
      </c>
      <c r="C46" s="19"/>
      <c r="D46" s="155">
        <v>-500682</v>
      </c>
    </row>
    <row r="47" spans="2:4" ht="15" thickBot="1">
      <c r="B47" s="18" t="s">
        <v>73</v>
      </c>
      <c r="C47" s="19">
        <v>25</v>
      </c>
      <c r="D47" s="155">
        <v>-11636454</v>
      </c>
    </row>
    <row r="48" spans="2:4" ht="15">
      <c r="B48" s="18"/>
      <c r="C48" s="19"/>
      <c r="D48" s="157"/>
    </row>
    <row r="49" spans="2:4" ht="15" thickBot="1">
      <c r="B49" s="18" t="s">
        <v>190</v>
      </c>
      <c r="C49" s="19"/>
      <c r="D49" s="156">
        <v>3761747</v>
      </c>
    </row>
    <row r="50" spans="2:4" ht="12.75">
      <c r="B50" s="151"/>
      <c r="C50" s="154"/>
      <c r="D50" s="154"/>
    </row>
    <row r="51" spans="2:5" ht="15">
      <c r="B51" s="20"/>
      <c r="C51" s="19"/>
      <c r="D51" s="17"/>
      <c r="E51" s="152"/>
    </row>
    <row r="52" spans="2:5" ht="15">
      <c r="B52" s="20" t="s">
        <v>75</v>
      </c>
      <c r="C52" s="19"/>
      <c r="D52" s="17"/>
      <c r="E52" s="152"/>
    </row>
    <row r="53" spans="2:5" ht="15">
      <c r="B53" s="20" t="s">
        <v>191</v>
      </c>
      <c r="C53" s="19"/>
      <c r="D53" s="155">
        <v>13320000</v>
      </c>
      <c r="E53" s="152"/>
    </row>
    <row r="54" spans="2:5" ht="15">
      <c r="B54" s="20" t="s">
        <v>192</v>
      </c>
      <c r="C54" s="19"/>
      <c r="D54" s="155">
        <v>1785884</v>
      </c>
      <c r="E54" s="152"/>
    </row>
    <row r="55" spans="2:5" ht="15">
      <c r="B55" s="20" t="s">
        <v>76</v>
      </c>
      <c r="C55" s="19"/>
      <c r="D55" s="155">
        <v>-9886</v>
      </c>
      <c r="E55" s="152"/>
    </row>
    <row r="56" spans="2:5" ht="15">
      <c r="B56" s="20" t="s">
        <v>193</v>
      </c>
      <c r="C56" s="19"/>
      <c r="D56" s="155">
        <v>-26016</v>
      </c>
      <c r="E56" s="152"/>
    </row>
    <row r="57" spans="2:5" ht="15">
      <c r="B57" s="20" t="s">
        <v>77</v>
      </c>
      <c r="C57" s="19"/>
      <c r="D57" s="155">
        <v>-63273</v>
      </c>
      <c r="E57" s="152"/>
    </row>
    <row r="58" spans="2:5" ht="15">
      <c r="B58" s="20" t="s">
        <v>194</v>
      </c>
      <c r="C58" s="19"/>
      <c r="D58" s="155">
        <v>-666770</v>
      </c>
      <c r="E58" s="152"/>
    </row>
    <row r="59" spans="2:5" ht="15">
      <c r="B59" s="20" t="s">
        <v>195</v>
      </c>
      <c r="C59" s="19"/>
      <c r="D59" s="155">
        <v>-2520424</v>
      </c>
      <c r="E59" s="152"/>
    </row>
    <row r="60" spans="2:5" ht="15">
      <c r="B60" s="20" t="s">
        <v>196</v>
      </c>
      <c r="C60" s="19"/>
      <c r="D60" s="155">
        <v>-2812839</v>
      </c>
      <c r="E60" s="152"/>
    </row>
    <row r="61" spans="2:5" ht="15.75" thickBot="1">
      <c r="B61" s="20" t="s">
        <v>197</v>
      </c>
      <c r="C61" s="19"/>
      <c r="D61" s="156">
        <v>-5000000</v>
      </c>
      <c r="E61" s="152"/>
    </row>
    <row r="62" spans="2:5" ht="15">
      <c r="B62" s="20"/>
      <c r="C62" s="19"/>
      <c r="D62" s="19"/>
      <c r="E62" s="152"/>
    </row>
    <row r="63" spans="2:5" ht="15.75" thickBot="1">
      <c r="B63" s="20" t="s">
        <v>198</v>
      </c>
      <c r="C63" s="19"/>
      <c r="D63" s="156">
        <v>4006676</v>
      </c>
      <c r="E63" s="152"/>
    </row>
    <row r="64" spans="2:5" ht="15">
      <c r="B64" s="20"/>
      <c r="C64" s="19"/>
      <c r="D64" s="17"/>
      <c r="E64" s="152"/>
    </row>
    <row r="65" spans="2:5" ht="14.25">
      <c r="B65" s="20" t="s">
        <v>199</v>
      </c>
      <c r="C65" s="19"/>
      <c r="D65" s="155">
        <v>18799987</v>
      </c>
      <c r="E65" s="24"/>
    </row>
    <row r="66" spans="2:5" ht="15">
      <c r="B66" s="20"/>
      <c r="C66" s="19"/>
      <c r="D66" s="19"/>
      <c r="E66" s="152"/>
    </row>
    <row r="67" spans="2:5" ht="28.5">
      <c r="B67" s="20" t="s">
        <v>200</v>
      </c>
      <c r="C67" s="19"/>
      <c r="D67" s="19"/>
      <c r="E67" s="152"/>
    </row>
    <row r="68" spans="2:5" ht="15.75" thickBot="1">
      <c r="B68" s="20"/>
      <c r="C68" s="19"/>
      <c r="D68" s="158">
        <v>2</v>
      </c>
      <c r="E68" s="152"/>
    </row>
    <row r="69" spans="2:5" ht="15">
      <c r="B69" s="20"/>
      <c r="C69" s="19"/>
      <c r="D69" s="19"/>
      <c r="E69" s="152"/>
    </row>
    <row r="70" spans="2:5" ht="15.75" thickBot="1">
      <c r="B70" s="20" t="s">
        <v>201</v>
      </c>
      <c r="C70" s="19">
        <v>26</v>
      </c>
      <c r="D70" s="159">
        <v>18799989</v>
      </c>
      <c r="E70" s="152"/>
    </row>
    <row r="71" spans="2:5" ht="13.5" thickTop="1">
      <c r="B71" s="151"/>
      <c r="C71" s="154"/>
      <c r="D71" s="154"/>
      <c r="E71" s="151"/>
    </row>
    <row r="72" ht="14.25">
      <c r="B72" s="60"/>
    </row>
    <row r="73" ht="14.25">
      <c r="B73" s="51"/>
    </row>
    <row r="74" ht="14.25">
      <c r="B74" s="51"/>
    </row>
    <row r="75" spans="2:4" ht="15">
      <c r="B75" s="161" t="s">
        <v>211</v>
      </c>
      <c r="C75"/>
      <c r="D75"/>
    </row>
    <row r="76" spans="2:4" ht="14.25">
      <c r="B76" s="150"/>
      <c r="C76"/>
      <c r="D76"/>
    </row>
    <row r="77" spans="2:4" ht="42.75">
      <c r="B77" s="150" t="s">
        <v>202</v>
      </c>
      <c r="C77"/>
      <c r="D77"/>
    </row>
    <row r="78" spans="2:4" ht="14.25">
      <c r="B78" s="150"/>
      <c r="C78"/>
      <c r="D78"/>
    </row>
    <row r="79" spans="2:7" ht="15.75" thickBot="1">
      <c r="B79" s="25"/>
      <c r="D79" s="162" t="s">
        <v>203</v>
      </c>
      <c r="E79" s="163"/>
      <c r="F79" s="257"/>
      <c r="G79" s="257"/>
    </row>
    <row r="80" spans="2:7" ht="15">
      <c r="B80" s="25"/>
      <c r="D80" s="17">
        <v>2009</v>
      </c>
      <c r="E80" s="163"/>
      <c r="F80" s="164"/>
      <c r="G80" s="163"/>
    </row>
    <row r="81" spans="2:7" ht="15">
      <c r="B81" s="20"/>
      <c r="D81" s="17" t="s">
        <v>178</v>
      </c>
      <c r="E81" s="163"/>
      <c r="F81" s="164"/>
      <c r="G81" s="163"/>
    </row>
    <row r="82" spans="2:7" ht="15">
      <c r="B82" s="20"/>
      <c r="D82" s="17"/>
      <c r="E82" s="163"/>
      <c r="F82" s="164"/>
      <c r="G82" s="164"/>
    </row>
    <row r="83" spans="2:7" ht="14.25">
      <c r="B83" s="20" t="s">
        <v>204</v>
      </c>
      <c r="D83" s="155">
        <v>8538068</v>
      </c>
      <c r="E83" s="165"/>
      <c r="F83" s="166"/>
      <c r="G83" s="166"/>
    </row>
    <row r="84" spans="2:7" ht="15">
      <c r="B84" s="20" t="s">
        <v>205</v>
      </c>
      <c r="D84" s="17"/>
      <c r="E84" s="163"/>
      <c r="F84" s="164"/>
      <c r="G84" s="164"/>
    </row>
    <row r="85" spans="2:7" ht="14.25">
      <c r="B85" s="20" t="s">
        <v>206</v>
      </c>
      <c r="D85" s="155">
        <v>19711108</v>
      </c>
      <c r="E85" s="166"/>
      <c r="F85" s="167"/>
      <c r="G85" s="166"/>
    </row>
    <row r="86" spans="2:7" ht="14.25">
      <c r="B86" s="20" t="s">
        <v>207</v>
      </c>
      <c r="D86" s="155">
        <v>3199333</v>
      </c>
      <c r="E86" s="165"/>
      <c r="F86" s="167"/>
      <c r="G86" s="166"/>
    </row>
    <row r="87" spans="2:7" ht="15" thickBot="1">
      <c r="B87" s="20" t="s">
        <v>208</v>
      </c>
      <c r="D87" s="156">
        <v>-3959186</v>
      </c>
      <c r="E87" s="166"/>
      <c r="F87" s="167"/>
      <c r="G87" s="166"/>
    </row>
    <row r="88" spans="2:7" ht="14.25">
      <c r="B88" s="20"/>
      <c r="D88" s="19"/>
      <c r="E88" s="166"/>
      <c r="F88" s="167"/>
      <c r="G88" s="166"/>
    </row>
    <row r="89" spans="2:7" ht="14.25">
      <c r="B89" s="20"/>
      <c r="D89" s="155">
        <v>27489323</v>
      </c>
      <c r="E89" s="165"/>
      <c r="F89" s="167"/>
      <c r="G89" s="166"/>
    </row>
    <row r="90" spans="2:7" ht="15">
      <c r="B90" s="20" t="s">
        <v>209</v>
      </c>
      <c r="D90" s="17"/>
      <c r="E90" s="163"/>
      <c r="F90" s="164"/>
      <c r="G90" s="163"/>
    </row>
    <row r="91" spans="2:7" ht="15" thickBot="1">
      <c r="B91" s="20" t="s">
        <v>210</v>
      </c>
      <c r="D91" s="156">
        <v>-8689334</v>
      </c>
      <c r="E91" s="168"/>
      <c r="F91" s="168"/>
      <c r="G91" s="166"/>
    </row>
    <row r="92" spans="2:7" ht="14.25">
      <c r="B92" s="20"/>
      <c r="D92" s="19"/>
      <c r="E92" s="168"/>
      <c r="F92" s="168"/>
      <c r="G92" s="166"/>
    </row>
    <row r="93" spans="2:7" ht="15" thickBot="1">
      <c r="B93" s="20"/>
      <c r="D93" s="159">
        <v>18799989</v>
      </c>
      <c r="E93" s="169"/>
      <c r="F93" s="168"/>
      <c r="G93" s="166"/>
    </row>
    <row r="94" spans="2:4" ht="15" thickTop="1">
      <c r="B94" s="15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tabSelected="1" zoomScalePageLayoutView="0" workbookViewId="0" topLeftCell="A32">
      <selection activeCell="B62" sqref="B62:B63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189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90"/>
    </row>
    <row r="4" spans="2:10" s="51" customFormat="1" ht="15" customHeight="1">
      <c r="B4" s="16" t="s">
        <v>264</v>
      </c>
      <c r="E4" s="39"/>
      <c r="F4" s="39"/>
      <c r="G4" s="191"/>
      <c r="H4" s="39"/>
      <c r="I4" s="39"/>
      <c r="J4" s="39"/>
    </row>
    <row r="5" spans="2:10" s="51" customFormat="1" ht="15" customHeight="1">
      <c r="B5" s="16"/>
      <c r="E5" s="242" t="s">
        <v>212</v>
      </c>
      <c r="F5" s="56"/>
      <c r="G5" s="242" t="s">
        <v>265</v>
      </c>
      <c r="I5" s="242" t="s">
        <v>266</v>
      </c>
      <c r="J5" s="242" t="s">
        <v>213</v>
      </c>
    </row>
    <row r="6" spans="2:10" s="51" customFormat="1" ht="15" customHeight="1">
      <c r="B6" s="16"/>
      <c r="E6" s="242"/>
      <c r="F6" s="56"/>
      <c r="G6" s="242"/>
      <c r="I6" s="259"/>
      <c r="J6" s="259"/>
    </row>
    <row r="7" spans="2:10" s="51" customFormat="1" ht="15" customHeight="1">
      <c r="B7" s="16"/>
      <c r="E7" s="242"/>
      <c r="F7" s="56"/>
      <c r="G7" s="242"/>
      <c r="I7" s="259"/>
      <c r="J7" s="259"/>
    </row>
    <row r="8" spans="2:10" s="51" customFormat="1" ht="45" customHeight="1">
      <c r="B8" s="16"/>
      <c r="E8" s="242"/>
      <c r="F8" s="56"/>
      <c r="G8" s="242"/>
      <c r="I8" s="259"/>
      <c r="J8" s="259"/>
    </row>
    <row r="9" spans="2:10" s="51" customFormat="1" ht="15" customHeight="1">
      <c r="B9" s="16"/>
      <c r="E9" s="58" t="s">
        <v>3</v>
      </c>
      <c r="F9" s="58"/>
      <c r="G9" s="192" t="s">
        <v>3</v>
      </c>
      <c r="I9" s="18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93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194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30">
        <f>'[8]Sheet2'!$W$8</f>
        <v>4617</v>
      </c>
      <c r="H12" s="21"/>
      <c r="I12" s="21">
        <v>5319</v>
      </c>
      <c r="J12" s="21">
        <f>'CF12.09'!D12/1000</f>
        <v>13768.765</v>
      </c>
      <c r="K12" s="184"/>
    </row>
    <row r="13" spans="2:11" s="51" customFormat="1" ht="14.25">
      <c r="B13" s="20"/>
      <c r="C13" s="19"/>
      <c r="D13" s="19"/>
      <c r="E13" s="21"/>
      <c r="F13" s="21"/>
      <c r="G13" s="230"/>
      <c r="H13" s="21"/>
      <c r="I13" s="21"/>
      <c r="J13" s="21"/>
      <c r="K13" s="184"/>
    </row>
    <row r="14" spans="2:11" s="51" customFormat="1" ht="15" thickBot="1">
      <c r="B14" s="200" t="s">
        <v>111</v>
      </c>
      <c r="C14" s="19"/>
      <c r="D14" s="19"/>
      <c r="E14" s="21" t="e">
        <f>'[4]cashflow.'!$V$17</f>
        <v>#REF!</v>
      </c>
      <c r="F14" s="21"/>
      <c r="G14" s="230">
        <f>'[8]Sheet2'!$X$21</f>
        <v>4217.216240000001</v>
      </c>
      <c r="H14" s="21"/>
      <c r="I14" s="22">
        <v>2736</v>
      </c>
      <c r="J14" s="22">
        <f>'CF12.09'!E22/1000</f>
        <v>914.288</v>
      </c>
      <c r="K14" s="184"/>
    </row>
    <row r="15" spans="2:11" s="51" customFormat="1" ht="14.25">
      <c r="B15" s="201"/>
      <c r="C15" s="19"/>
      <c r="D15" s="19"/>
      <c r="E15" s="23"/>
      <c r="F15" s="28"/>
      <c r="G15" s="231"/>
      <c r="H15" s="28"/>
      <c r="I15" s="28"/>
      <c r="J15" s="21"/>
      <c r="K15" s="184"/>
    </row>
    <row r="16" spans="2:11" s="51" customFormat="1" ht="15.75" customHeight="1">
      <c r="B16" s="200" t="s">
        <v>8</v>
      </c>
      <c r="C16" s="19"/>
      <c r="D16" s="19"/>
      <c r="E16" s="49">
        <f>'[4]cashflow.'!$U$21</f>
        <v>3906</v>
      </c>
      <c r="F16" s="49"/>
      <c r="G16" s="232">
        <f>SUM(G12:G14)</f>
        <v>8834.216240000002</v>
      </c>
      <c r="H16" s="21"/>
      <c r="I16" s="49">
        <f>SUM(I12:I14)</f>
        <v>8055</v>
      </c>
      <c r="J16" s="49">
        <f>'CF12.09'!D24/1000</f>
        <v>14683.053</v>
      </c>
      <c r="K16" s="184"/>
    </row>
    <row r="17" spans="2:15" s="51" customFormat="1" ht="14.25">
      <c r="B17" s="202"/>
      <c r="C17" s="24"/>
      <c r="D17" s="24"/>
      <c r="E17" s="21"/>
      <c r="F17" s="21"/>
      <c r="G17" s="230"/>
      <c r="H17" s="21"/>
      <c r="I17" s="21"/>
      <c r="J17" s="21"/>
      <c r="K17" s="197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27" t="e">
        <f>'[1]cashflow.'!F22</f>
        <v>#REF!</v>
      </c>
      <c r="H18" s="21"/>
      <c r="I18" s="21"/>
      <c r="J18" s="21" t="s">
        <v>24</v>
      </c>
      <c r="K18" s="197"/>
      <c r="L18" s="19"/>
    </row>
    <row r="19" spans="2:12" s="51" customFormat="1" ht="14.25" customHeight="1">
      <c r="B19" s="41" t="s">
        <v>233</v>
      </c>
      <c r="C19" s="24"/>
      <c r="D19" s="24"/>
      <c r="E19" s="21">
        <f>'[4]cashflow.'!$U$23</f>
        <v>312.60903000000053</v>
      </c>
      <c r="F19" s="21"/>
      <c r="G19" s="230">
        <f>'[8]Sheet2'!$W$26</f>
        <v>-3194.3551600000005</v>
      </c>
      <c r="H19" s="21"/>
      <c r="I19" s="21">
        <v>-1190</v>
      </c>
      <c r="J19" s="21">
        <f>'CF12.09'!D26/1000</f>
        <v>1005.378</v>
      </c>
      <c r="K19" s="197"/>
      <c r="L19" s="19"/>
    </row>
    <row r="20" spans="2:12" s="51" customFormat="1" ht="14.25" customHeight="1">
      <c r="B20" s="41" t="s">
        <v>234</v>
      </c>
      <c r="C20" s="24"/>
      <c r="D20" s="24"/>
      <c r="E20" s="21">
        <f>'[4]cashflow.'!$U$24</f>
        <v>-1741.777379999996</v>
      </c>
      <c r="F20" s="21"/>
      <c r="G20" s="230">
        <f>'[8]Sheet2'!$W$27</f>
        <v>-2961.9573599999994</v>
      </c>
      <c r="H20" s="21"/>
      <c r="I20" s="21">
        <v>-6233</v>
      </c>
      <c r="J20" s="21">
        <f>'CF12.09'!D27/1000</f>
        <v>2638.376</v>
      </c>
      <c r="K20" s="197"/>
      <c r="L20" s="19"/>
    </row>
    <row r="21" spans="2:12" s="51" customFormat="1" ht="14.25" customHeight="1">
      <c r="B21" s="41" t="s">
        <v>240</v>
      </c>
      <c r="C21" s="24"/>
      <c r="D21" s="24"/>
      <c r="E21" s="21">
        <f>'[4]cashflow.'!$U$25</f>
        <v>-1991.7909599999984</v>
      </c>
      <c r="F21" s="21"/>
      <c r="G21" s="230">
        <f>'[8]Sheet2'!$W$28</f>
        <v>5655.363769999996</v>
      </c>
      <c r="H21" s="21"/>
      <c r="I21" s="21">
        <v>10527</v>
      </c>
      <c r="J21" s="21">
        <f>'CF12.09'!D28/1000</f>
        <v>-3186.2</v>
      </c>
      <c r="K21" s="197"/>
      <c r="L21" s="19"/>
    </row>
    <row r="22" spans="2:12" s="51" customFormat="1" ht="14.25" customHeight="1">
      <c r="B22" s="201" t="s">
        <v>235</v>
      </c>
      <c r="C22" s="24"/>
      <c r="D22" s="24"/>
      <c r="E22" s="21">
        <f>'[4]cashflow.'!$U$26</f>
        <v>770.346</v>
      </c>
      <c r="F22" s="21"/>
      <c r="G22" s="230">
        <f>'[8]Sheet2'!$W$29</f>
        <v>4956.89237</v>
      </c>
      <c r="H22" s="21"/>
      <c r="I22" s="21">
        <v>33</v>
      </c>
      <c r="J22" s="21">
        <f>'CF12.09'!D29/1000</f>
        <v>-1774.921</v>
      </c>
      <c r="K22" s="197"/>
      <c r="L22" s="19"/>
    </row>
    <row r="23" spans="2:12" s="51" customFormat="1" ht="14.25" customHeight="1">
      <c r="B23" s="41" t="s">
        <v>236</v>
      </c>
      <c r="C23" s="20"/>
      <c r="D23" s="20"/>
      <c r="E23" s="21">
        <f>'[4]cashflow.'!$U$27</f>
        <v>8.91215000000011</v>
      </c>
      <c r="F23" s="21"/>
      <c r="G23" s="230">
        <f>'[8]Sheet2'!$W$30</f>
        <v>-1189.20576</v>
      </c>
      <c r="H23" s="21"/>
      <c r="I23" s="21">
        <v>-3656</v>
      </c>
      <c r="J23" s="21">
        <f>'CF12.09'!D30/1000</f>
        <v>1373.389</v>
      </c>
      <c r="K23" s="197"/>
      <c r="L23" s="19"/>
    </row>
    <row r="24" spans="2:12" s="51" customFormat="1" ht="14.25" customHeight="1">
      <c r="B24" s="41" t="s">
        <v>241</v>
      </c>
      <c r="C24" s="20"/>
      <c r="D24" s="20"/>
      <c r="E24" s="21">
        <f>'[4]cashflow.'!$U$28</f>
        <v>-230.72018999999818</v>
      </c>
      <c r="F24" s="21"/>
      <c r="G24" s="230">
        <f>'[8]Sheet2'!$W$34</f>
        <v>-1717.9846300000013</v>
      </c>
      <c r="H24" s="21"/>
      <c r="I24" s="21">
        <v>-843</v>
      </c>
      <c r="J24" s="21">
        <f>'CF12.09'!D31/1000</f>
        <v>189.777</v>
      </c>
      <c r="K24" s="197"/>
      <c r="L24" s="19"/>
    </row>
    <row r="25" spans="2:12" s="51" customFormat="1" ht="14.25" customHeight="1">
      <c r="B25" s="201" t="s">
        <v>239</v>
      </c>
      <c r="C25" s="20"/>
      <c r="D25" s="20"/>
      <c r="E25" s="21"/>
      <c r="F25" s="21"/>
      <c r="G25" s="230">
        <f>'[8]Sheet2'!$W$35</f>
        <v>-151</v>
      </c>
      <c r="H25" s="21"/>
      <c r="I25" s="21">
        <v>-3257</v>
      </c>
      <c r="J25" s="21"/>
      <c r="K25" s="197"/>
      <c r="L25" s="19"/>
    </row>
    <row r="26" spans="2:12" s="51" customFormat="1" ht="15" thickBot="1">
      <c r="B26" s="40" t="s">
        <v>242</v>
      </c>
      <c r="C26" s="20"/>
      <c r="D26" s="20"/>
      <c r="E26" s="22">
        <f>'[4]cashflow.'!$U$29</f>
        <v>-780.1700500000002</v>
      </c>
      <c r="F26" s="28"/>
      <c r="G26" s="233">
        <f>'[8]Sheet2'!$W$36</f>
        <v>-511.2465000000004</v>
      </c>
      <c r="H26" s="28"/>
      <c r="I26" s="22">
        <v>-1232</v>
      </c>
      <c r="J26" s="22">
        <f>'CF12.09'!D32/1000</f>
        <v>-271.731</v>
      </c>
      <c r="K26" s="197"/>
      <c r="L26" s="19"/>
    </row>
    <row r="27" spans="2:12" s="51" customFormat="1" ht="14.25">
      <c r="B27" s="202"/>
      <c r="C27" s="24"/>
      <c r="D27" s="24"/>
      <c r="E27" s="21"/>
      <c r="F27" s="21"/>
      <c r="G27" s="230"/>
      <c r="H27" s="21"/>
      <c r="I27" s="21"/>
      <c r="J27" s="21"/>
      <c r="K27" s="197"/>
      <c r="L27" s="19"/>
    </row>
    <row r="28" spans="2:12" s="51" customFormat="1" ht="14.25" customHeight="1">
      <c r="B28" s="200" t="s">
        <v>105</v>
      </c>
      <c r="C28" s="20"/>
      <c r="D28" s="20"/>
      <c r="E28" s="49">
        <f>'[4]cashflow.'!$U$32</f>
        <v>254.40860000000794</v>
      </c>
      <c r="F28" s="49"/>
      <c r="G28" s="232">
        <f>SUM(G19:G27)+G16</f>
        <v>9720.722969999997</v>
      </c>
      <c r="H28" s="21"/>
      <c r="I28" s="49">
        <f>SUM(I16:I26)</f>
        <v>2204</v>
      </c>
      <c r="J28" s="49">
        <f>'CF12.09'!D34/1000</f>
        <v>14657.121</v>
      </c>
      <c r="K28" s="197"/>
      <c r="L28" s="19"/>
    </row>
    <row r="29" spans="2:12" s="51" customFormat="1" ht="14.25" customHeight="1">
      <c r="B29" s="200"/>
      <c r="C29" s="20"/>
      <c r="D29" s="20"/>
      <c r="E29" s="49"/>
      <c r="F29" s="49"/>
      <c r="G29" s="228"/>
      <c r="H29" s="21"/>
      <c r="I29" s="49"/>
      <c r="J29" s="49"/>
      <c r="K29" s="197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30">
        <f>'[8]Sheet2'!$W$44+'[8]Sheet2'!$W$43</f>
        <v>-1766.3359400000002</v>
      </c>
      <c r="H30" s="21"/>
      <c r="I30" s="21">
        <v>-999</v>
      </c>
      <c r="J30" s="21">
        <f>'CF12.09'!D36/1000</f>
        <v>-134.101</v>
      </c>
      <c r="K30" s="197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30">
        <f>'[8]Sheet2'!$W$45</f>
        <v>-1451.328</v>
      </c>
      <c r="H31" s="28"/>
      <c r="I31" s="28">
        <v>-1792</v>
      </c>
      <c r="J31" s="21">
        <f>'CF12.09'!D37/1000</f>
        <v>-3491.456</v>
      </c>
      <c r="K31" s="197"/>
      <c r="L31" s="19"/>
    </row>
    <row r="32" spans="2:12" s="51" customFormat="1" ht="15" thickBot="1">
      <c r="B32" s="45"/>
      <c r="C32" s="18"/>
      <c r="D32" s="18"/>
      <c r="E32" s="22"/>
      <c r="F32" s="28"/>
      <c r="G32" s="233"/>
      <c r="H32" s="21"/>
      <c r="I32" s="22"/>
      <c r="J32" s="22"/>
      <c r="K32" s="197"/>
      <c r="L32" s="19"/>
    </row>
    <row r="33" spans="2:12" s="51" customFormat="1" ht="15.75" thickBot="1">
      <c r="B33" s="203" t="s">
        <v>44</v>
      </c>
      <c r="C33" s="18"/>
      <c r="D33" s="18"/>
      <c r="E33" s="50">
        <f>'[4]cashflow.'!$U$37</f>
        <v>-620.5913999999921</v>
      </c>
      <c r="F33" s="112"/>
      <c r="G33" s="235">
        <f>SUM(G28:G32)</f>
        <v>6503.059029999997</v>
      </c>
      <c r="H33" s="28"/>
      <c r="I33" s="50">
        <f>SUM(I28:I32)</f>
        <v>-587</v>
      </c>
      <c r="J33" s="160">
        <f>'CF12.09'!D39/1000</f>
        <v>11031.564</v>
      </c>
      <c r="K33" s="197"/>
      <c r="L33" s="19"/>
    </row>
    <row r="34" spans="2:12" s="51" customFormat="1" ht="14.25">
      <c r="B34" s="45"/>
      <c r="C34" s="18"/>
      <c r="D34" s="18"/>
      <c r="E34" s="102"/>
      <c r="F34" s="102"/>
      <c r="G34" s="236"/>
      <c r="H34" s="102"/>
      <c r="I34" s="102"/>
      <c r="J34" s="102"/>
      <c r="K34" s="197"/>
      <c r="L34" s="19"/>
    </row>
    <row r="35" spans="2:12" s="51" customFormat="1" ht="14.25">
      <c r="B35" s="45"/>
      <c r="C35" s="19"/>
      <c r="D35" s="19"/>
      <c r="E35" s="21"/>
      <c r="F35" s="21"/>
      <c r="G35" s="230"/>
      <c r="H35" s="21"/>
      <c r="I35" s="21"/>
      <c r="J35" s="21"/>
      <c r="K35" s="197"/>
      <c r="L35" s="19"/>
    </row>
    <row r="36" spans="2:12" s="51" customFormat="1" ht="15" customHeight="1">
      <c r="B36" s="203" t="s">
        <v>71</v>
      </c>
      <c r="C36" s="25"/>
      <c r="D36" s="25"/>
      <c r="E36" s="21"/>
      <c r="F36" s="21"/>
      <c r="G36" s="230"/>
      <c r="H36" s="21"/>
      <c r="I36" s="21"/>
      <c r="J36" s="21"/>
      <c r="K36" s="198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30">
        <f>'[8]Sheet2'!$W$51</f>
        <v>590.20138</v>
      </c>
      <c r="H37" s="21"/>
      <c r="I37" s="21">
        <v>397</v>
      </c>
      <c r="J37" s="21">
        <f>'CF12.09'!D45/1000+'CF12.09'!D44/1000</f>
        <v>419.404</v>
      </c>
      <c r="K37" s="197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30">
        <f>'[8]Sheet2'!$W$55</f>
        <v>-489.1287400000002</v>
      </c>
      <c r="H38" s="21"/>
      <c r="I38" s="21">
        <v>-325</v>
      </c>
      <c r="J38" s="21">
        <f>'CF12.09'!D46/1000</f>
        <v>-500.682</v>
      </c>
      <c r="K38" s="197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30">
        <f>'[8]Sheet2'!$W$56</f>
        <v>-9777.312310000001</v>
      </c>
      <c r="H39" s="21"/>
      <c r="I39" s="21">
        <v>-13678</v>
      </c>
      <c r="J39" s="21">
        <f>'CF12.09'!D47/1000</f>
        <v>-11636.454</v>
      </c>
      <c r="K39" s="197"/>
      <c r="L39" s="19"/>
    </row>
    <row r="40" spans="2:12" s="51" customFormat="1" ht="14.25">
      <c r="B40" s="234" t="s">
        <v>268</v>
      </c>
      <c r="C40" s="19"/>
      <c r="D40" s="19"/>
      <c r="E40" s="21"/>
      <c r="F40" s="21"/>
      <c r="G40" s="230">
        <f>'[8]Sheet2'!$W$57</f>
        <v>62.9378</v>
      </c>
      <c r="H40" s="21"/>
      <c r="I40" s="21">
        <v>0</v>
      </c>
      <c r="J40" s="21"/>
      <c r="K40" s="197"/>
      <c r="L40" s="19"/>
    </row>
    <row r="41" spans="2:12" s="51" customFormat="1" ht="14.25">
      <c r="B41" s="45" t="s">
        <v>269</v>
      </c>
      <c r="C41" s="19"/>
      <c r="D41" s="19"/>
      <c r="E41" s="21"/>
      <c r="F41" s="21"/>
      <c r="G41" s="230">
        <f>'[8]Sheet2'!$W$58</f>
        <v>-2288.8125</v>
      </c>
      <c r="H41" s="21"/>
      <c r="I41" s="21">
        <v>0</v>
      </c>
      <c r="J41" s="21"/>
      <c r="K41" s="197"/>
      <c r="L41" s="19"/>
    </row>
    <row r="42" spans="2:12" s="51" customFormat="1" ht="14.25">
      <c r="B42" s="45" t="s">
        <v>245</v>
      </c>
      <c r="C42" s="19"/>
      <c r="D42" s="19"/>
      <c r="E42" s="21"/>
      <c r="F42" s="21"/>
      <c r="G42" s="230">
        <f>'[8]Sheet2'!$W$52</f>
        <v>166.76546</v>
      </c>
      <c r="H42" s="21"/>
      <c r="I42" s="21">
        <v>0</v>
      </c>
      <c r="J42" s="21"/>
      <c r="K42" s="197"/>
      <c r="L42" s="19"/>
    </row>
    <row r="43" spans="2:12" s="51" customFormat="1" ht="15" thickBot="1">
      <c r="B43" s="45"/>
      <c r="C43" s="19"/>
      <c r="D43" s="19"/>
      <c r="E43" s="22"/>
      <c r="F43" s="28"/>
      <c r="G43" s="233"/>
      <c r="H43" s="28"/>
      <c r="I43" s="22"/>
      <c r="J43" s="22"/>
      <c r="K43" s="197"/>
      <c r="L43" s="19"/>
    </row>
    <row r="44" spans="2:13" s="51" customFormat="1" ht="15.75" thickBot="1">
      <c r="B44" s="45" t="s">
        <v>133</v>
      </c>
      <c r="C44" s="18"/>
      <c r="D44" s="18"/>
      <c r="E44" s="50">
        <f>'[4]cashflow.'!$U$48</f>
        <v>-996</v>
      </c>
      <c r="F44" s="112"/>
      <c r="G44" s="235">
        <f>SUM(G37:G43)</f>
        <v>-11735.34891</v>
      </c>
      <c r="H44" s="28"/>
      <c r="I44" s="50">
        <f>SUM(I37:I43)</f>
        <v>-13606</v>
      </c>
      <c r="J44" s="50">
        <f>'CF12.09'!D49/1000</f>
        <v>3761.747</v>
      </c>
      <c r="K44" s="217"/>
      <c r="L44" s="19"/>
      <c r="M44" s="103"/>
    </row>
    <row r="45" spans="2:12" s="51" customFormat="1" ht="14.25">
      <c r="B45" s="202"/>
      <c r="C45" s="19"/>
      <c r="D45" s="19"/>
      <c r="E45" s="21"/>
      <c r="F45" s="21"/>
      <c r="G45" s="227"/>
      <c r="H45" s="21"/>
      <c r="I45" s="21"/>
      <c r="J45" s="21"/>
      <c r="K45" s="197"/>
      <c r="L45" s="19"/>
    </row>
    <row r="46" spans="2:12" s="51" customFormat="1" ht="15" customHeight="1">
      <c r="B46" s="203" t="s">
        <v>75</v>
      </c>
      <c r="C46" s="25"/>
      <c r="D46" s="25"/>
      <c r="E46" s="21"/>
      <c r="F46" s="21"/>
      <c r="G46" s="230"/>
      <c r="H46" s="21"/>
      <c r="I46" s="21"/>
      <c r="J46" s="21"/>
      <c r="K46" s="199"/>
      <c r="L46" s="18"/>
    </row>
    <row r="47" spans="2:12" s="51" customFormat="1" ht="14.25" customHeight="1" hidden="1">
      <c r="B47" s="201" t="s">
        <v>191</v>
      </c>
      <c r="C47" s="18"/>
      <c r="D47" s="18"/>
      <c r="E47" s="21">
        <v>0</v>
      </c>
      <c r="F47" s="21"/>
      <c r="G47" s="230">
        <v>0</v>
      </c>
      <c r="H47" s="21"/>
      <c r="I47" s="21">
        <v>0</v>
      </c>
      <c r="J47" s="21">
        <f>'CF12.09'!D53/1000</f>
        <v>13320</v>
      </c>
      <c r="K47" s="197"/>
      <c r="L47" s="19"/>
    </row>
    <row r="48" spans="2:12" s="51" customFormat="1" ht="14.25" customHeight="1" hidden="1">
      <c r="B48" s="201" t="s">
        <v>192</v>
      </c>
      <c r="C48" s="18"/>
      <c r="D48" s="18"/>
      <c r="E48" s="21">
        <f>'[4]cashflow.'!$U$55</f>
        <v>-161.806</v>
      </c>
      <c r="F48" s="21"/>
      <c r="G48" s="230">
        <v>0</v>
      </c>
      <c r="H48" s="21"/>
      <c r="I48" s="21">
        <v>0</v>
      </c>
      <c r="J48" s="21">
        <f>'CF12.09'!D54/1000</f>
        <v>1785.884</v>
      </c>
      <c r="K48" s="197"/>
      <c r="L48" s="19"/>
    </row>
    <row r="49" spans="2:12" s="51" customFormat="1" ht="14.25" customHeight="1">
      <c r="B49" s="201" t="s">
        <v>76</v>
      </c>
      <c r="C49" s="18"/>
      <c r="D49" s="18"/>
      <c r="E49" s="21">
        <f>'[4]cashflow.'!$U$52</f>
        <v>-6</v>
      </c>
      <c r="F49" s="21"/>
      <c r="G49" s="230">
        <f>'[8]Sheet2'!$W$65</f>
        <v>-7.5568</v>
      </c>
      <c r="H49" s="21"/>
      <c r="I49" s="21">
        <v>-9</v>
      </c>
      <c r="J49" s="21">
        <f>'CF12.09'!D55/1000</f>
        <v>-9.886</v>
      </c>
      <c r="K49" s="197"/>
      <c r="L49" s="19"/>
    </row>
    <row r="50" spans="2:12" s="51" customFormat="1" ht="14.25" customHeight="1">
      <c r="B50" s="201" t="s">
        <v>193</v>
      </c>
      <c r="C50" s="18"/>
      <c r="D50" s="18"/>
      <c r="E50" s="21">
        <f>'[4]cashflow.'!$U$53</f>
        <v>-15</v>
      </c>
      <c r="F50" s="21"/>
      <c r="G50" s="230">
        <f>'[8]Sheet2'!$W$66</f>
        <v>-646.76086</v>
      </c>
      <c r="H50" s="21"/>
      <c r="I50" s="21">
        <v>-577</v>
      </c>
      <c r="J50" s="21">
        <f>'CF12.09'!D56/1000</f>
        <v>-26.016</v>
      </c>
      <c r="K50" s="197"/>
      <c r="L50" s="19"/>
    </row>
    <row r="51" spans="2:12" s="51" customFormat="1" ht="14.25" customHeight="1">
      <c r="B51" s="201" t="s">
        <v>77</v>
      </c>
      <c r="C51" s="18"/>
      <c r="D51" s="18"/>
      <c r="E51" s="21">
        <f>'[4]cashflow.'!$U$54</f>
        <v>-440</v>
      </c>
      <c r="F51" s="21"/>
      <c r="G51" s="230">
        <f>'[8]Sheet2'!$W$67</f>
        <v>-56.548</v>
      </c>
      <c r="H51" s="21"/>
      <c r="I51" s="21">
        <v>-50</v>
      </c>
      <c r="J51" s="21">
        <f>'CF12.09'!D57/1000</f>
        <v>-63.273</v>
      </c>
      <c r="K51" s="197"/>
      <c r="L51" s="19"/>
    </row>
    <row r="52" spans="2:12" s="51" customFormat="1" ht="14.25" customHeight="1">
      <c r="B52" s="201" t="s">
        <v>267</v>
      </c>
      <c r="C52" s="18"/>
      <c r="D52" s="18"/>
      <c r="E52" s="21"/>
      <c r="F52" s="21"/>
      <c r="G52" s="230">
        <f>'[8]Sheet2'!$W$70</f>
        <v>0</v>
      </c>
      <c r="H52" s="28"/>
      <c r="I52" s="28">
        <v>31200</v>
      </c>
      <c r="J52" s="21"/>
      <c r="K52" s="197"/>
      <c r="L52" s="19"/>
    </row>
    <row r="53" spans="2:12" s="51" customFormat="1" ht="14.25" customHeight="1">
      <c r="B53" s="201" t="s">
        <v>230</v>
      </c>
      <c r="C53" s="18"/>
      <c r="D53" s="18"/>
      <c r="E53" s="21">
        <f>'[4]cashflow.'!$U$51</f>
        <v>-1007.242</v>
      </c>
      <c r="F53" s="21"/>
      <c r="G53" s="230">
        <f>'[8]Sheet2'!$W$64</f>
        <v>1159</v>
      </c>
      <c r="H53" s="28"/>
      <c r="I53" s="28">
        <v>2311</v>
      </c>
      <c r="J53" s="21">
        <f>'CF12.09'!D60/1000</f>
        <v>-2812.839</v>
      </c>
      <c r="K53" s="197"/>
      <c r="L53" s="19"/>
    </row>
    <row r="54" spans="2:12" s="51" customFormat="1" ht="14.25" customHeight="1">
      <c r="B54" s="201" t="s">
        <v>231</v>
      </c>
      <c r="C54" s="18"/>
      <c r="D54" s="18"/>
      <c r="E54" s="21"/>
      <c r="F54" s="21"/>
      <c r="G54" s="230">
        <f>'[8]Sheet2'!$W$68</f>
        <v>-2405.2371000000003</v>
      </c>
      <c r="H54" s="28"/>
      <c r="I54" s="28">
        <v>-2699</v>
      </c>
      <c r="J54" s="21"/>
      <c r="K54" s="197"/>
      <c r="L54" s="19"/>
    </row>
    <row r="55" spans="2:12" s="51" customFormat="1" ht="14.25" customHeight="1" thickBot="1">
      <c r="B55" s="216"/>
      <c r="C55" s="18"/>
      <c r="D55" s="18"/>
      <c r="E55" s="22"/>
      <c r="F55" s="28"/>
      <c r="G55" s="233"/>
      <c r="H55" s="28"/>
      <c r="I55" s="22"/>
      <c r="J55" s="22"/>
      <c r="K55" s="197"/>
      <c r="L55" s="19"/>
    </row>
    <row r="56" spans="3:12" s="51" customFormat="1" ht="18" customHeight="1" thickBot="1">
      <c r="C56" s="20"/>
      <c r="D56" s="20"/>
      <c r="E56" s="53">
        <f>'[4]cashflow.'!$U$63</f>
        <v>-1267.048</v>
      </c>
      <c r="F56" s="173"/>
      <c r="G56" s="237">
        <f>SUM(G47:G54)-1</f>
        <v>-1958.1027600000002</v>
      </c>
      <c r="H56" s="28"/>
      <c r="I56" s="50">
        <f>SUM(I47:I55)</f>
        <v>30176</v>
      </c>
      <c r="J56" s="50">
        <f>'CF12.09'!D63/1000</f>
        <v>4006.676</v>
      </c>
      <c r="K56" s="197"/>
      <c r="L56" s="19"/>
    </row>
    <row r="57" spans="2:12" s="51" customFormat="1" ht="14.25">
      <c r="B57" s="45"/>
      <c r="C57" s="18"/>
      <c r="D57" s="18"/>
      <c r="E57" s="102"/>
      <c r="F57" s="102"/>
      <c r="G57" s="236"/>
      <c r="H57" s="28"/>
      <c r="I57" s="28"/>
      <c r="J57" s="102"/>
      <c r="K57" s="197"/>
      <c r="L57" s="19"/>
    </row>
    <row r="58" spans="2:12" s="51" customFormat="1" ht="14.25" customHeight="1">
      <c r="B58" s="203" t="s">
        <v>144</v>
      </c>
      <c r="C58" s="18"/>
      <c r="D58" s="18"/>
      <c r="E58" s="21">
        <f>'[4]cashflow.'!$U$65</f>
        <v>-2883.639399999992</v>
      </c>
      <c r="F58" s="21"/>
      <c r="G58" s="230">
        <f>G33+G44+G56</f>
        <v>-7190.392640000004</v>
      </c>
      <c r="H58" s="28"/>
      <c r="I58" s="28">
        <f>I33+I44+I56</f>
        <v>15983</v>
      </c>
      <c r="J58" s="21">
        <f>'CF12.09'!D65/1000</f>
        <v>18799.987</v>
      </c>
      <c r="K58" s="28"/>
      <c r="L58" s="19"/>
    </row>
    <row r="59" spans="2:12" s="51" customFormat="1" ht="14.25">
      <c r="B59" s="201"/>
      <c r="C59" s="19"/>
      <c r="D59" s="19"/>
      <c r="E59" s="21"/>
      <c r="F59" s="21"/>
      <c r="G59" s="230"/>
      <c r="H59" s="28"/>
      <c r="I59" s="28"/>
      <c r="J59" s="21"/>
      <c r="K59" s="197"/>
      <c r="L59" s="19"/>
    </row>
    <row r="60" spans="2:12" s="51" customFormat="1" ht="14.25" customHeight="1" thickBot="1">
      <c r="B60" s="258" t="s">
        <v>100</v>
      </c>
      <c r="C60" s="20"/>
      <c r="D60" s="20"/>
      <c r="E60" s="22">
        <f>'[4]cashflow.'!$U$67</f>
        <v>18800</v>
      </c>
      <c r="F60" s="28"/>
      <c r="G60" s="233">
        <f>'[6]Sheet2'!$W$79</f>
        <v>32961.051999999996</v>
      </c>
      <c r="H60" s="28"/>
      <c r="I60" s="22">
        <v>20571</v>
      </c>
      <c r="J60" s="22">
        <f>'CF12.09'!D68/1000</f>
        <v>0.002</v>
      </c>
      <c r="K60" s="197"/>
      <c r="L60" s="19"/>
    </row>
    <row r="61" spans="2:12" s="51" customFormat="1" ht="14.25">
      <c r="B61" s="258"/>
      <c r="C61" s="20"/>
      <c r="D61" s="20"/>
      <c r="E61" s="102"/>
      <c r="F61" s="102"/>
      <c r="G61" s="236"/>
      <c r="H61" s="28"/>
      <c r="I61" s="28"/>
      <c r="J61" s="102"/>
      <c r="K61" s="197"/>
      <c r="L61" s="19"/>
    </row>
    <row r="62" spans="2:12" s="51" customFormat="1" ht="15.75" thickBot="1">
      <c r="B62" s="258" t="s">
        <v>134</v>
      </c>
      <c r="C62" s="20"/>
      <c r="D62" s="19"/>
      <c r="E62" s="111">
        <f>'[4]cashflow.'!$U$69</f>
        <v>15916.360600000007</v>
      </c>
      <c r="F62" s="112"/>
      <c r="G62" s="238">
        <f>SUM(G58:G60)</f>
        <v>25770.65935999999</v>
      </c>
      <c r="H62" s="112"/>
      <c r="I62" s="111">
        <f>SUM(I58:I60)</f>
        <v>36554</v>
      </c>
      <c r="J62" s="111">
        <f>'CF12.09'!D70/1000</f>
        <v>18799.989</v>
      </c>
      <c r="K62" s="197"/>
      <c r="L62" s="19"/>
    </row>
    <row r="63" spans="2:11" s="51" customFormat="1" ht="15" thickTop="1">
      <c r="B63" s="258"/>
      <c r="G63" s="229"/>
      <c r="H63" s="28"/>
      <c r="I63" s="28"/>
      <c r="K63" s="184"/>
    </row>
    <row r="64" spans="2:11" s="51" customFormat="1" ht="14.25">
      <c r="B64" s="12"/>
      <c r="G64" s="229"/>
      <c r="H64" s="28"/>
      <c r="I64" s="28"/>
      <c r="K64" s="184"/>
    </row>
    <row r="65" spans="2:11" s="51" customFormat="1" ht="14.25">
      <c r="B65" s="2" t="s">
        <v>96</v>
      </c>
      <c r="G65" s="229"/>
      <c r="H65" s="28"/>
      <c r="I65" s="28"/>
      <c r="K65" s="184"/>
    </row>
    <row r="66" spans="2:11" s="51" customFormat="1" ht="14.25">
      <c r="B66" s="12" t="s">
        <v>258</v>
      </c>
      <c r="E66" s="102">
        <f>'[4]cashflow.'!$N$75</f>
        <v>29350</v>
      </c>
      <c r="F66" s="102"/>
      <c r="G66" s="236">
        <f>'[8]Sheet2'!$W$88+'[8]Sheet2'!$W$89+'[8]Sheet2'!$W$91</f>
        <v>31451</v>
      </c>
      <c r="H66" s="28"/>
      <c r="I66" s="28">
        <v>35277</v>
      </c>
      <c r="J66" s="21">
        <f>'CF12.09'!D83/1000+'CF12.09'!D85/1000</f>
        <v>28249.176</v>
      </c>
      <c r="K66" s="184"/>
    </row>
    <row r="67" spans="2:11" s="51" customFormat="1" ht="14.25">
      <c r="B67" s="12" t="s">
        <v>82</v>
      </c>
      <c r="E67" s="102">
        <f>'[4]cashflow.'!$N$76</f>
        <v>3944</v>
      </c>
      <c r="F67" s="102"/>
      <c r="G67" s="236">
        <f>'[8]Sheet2'!$W$90</f>
        <v>10936.65541</v>
      </c>
      <c r="H67" s="28"/>
      <c r="I67" s="28">
        <v>16964</v>
      </c>
      <c r="J67" s="21">
        <f>'CF12.09'!D86/1000</f>
        <v>3199.333</v>
      </c>
      <c r="K67" s="184"/>
    </row>
    <row r="68" spans="2:11" s="51" customFormat="1" ht="15" thickBot="1">
      <c r="B68" s="12" t="s">
        <v>83</v>
      </c>
      <c r="E68" s="123">
        <f>'[4]cashflow.'!$N$77</f>
        <v>-8541</v>
      </c>
      <c r="F68" s="174"/>
      <c r="G68" s="239">
        <f>'[8]Sheet2'!$W$92</f>
        <v>-3669.08759</v>
      </c>
      <c r="H68" s="54"/>
      <c r="I68" s="183">
        <v>-3555</v>
      </c>
      <c r="J68" s="22">
        <f>'CF12.09'!D87/1000</f>
        <v>-3959.186</v>
      </c>
      <c r="K68" s="184"/>
    </row>
    <row r="69" spans="2:11" s="51" customFormat="1" ht="14.25">
      <c r="B69" s="12"/>
      <c r="E69" s="102">
        <f>'[4]cashflow.'!$N$78</f>
        <v>24753</v>
      </c>
      <c r="F69" s="102"/>
      <c r="G69" s="236">
        <f>SUM(G66:G68)</f>
        <v>38718.56782</v>
      </c>
      <c r="I69" s="102">
        <f>SUM(I66:I68)</f>
        <v>48686</v>
      </c>
      <c r="J69" s="21">
        <f>'CF12.09'!D89/1000</f>
        <v>27489.323</v>
      </c>
      <c r="K69" s="184"/>
    </row>
    <row r="70" spans="2:11" s="51" customFormat="1" ht="14.25">
      <c r="B70" s="43" t="s">
        <v>137</v>
      </c>
      <c r="C70" s="104"/>
      <c r="E70" s="102">
        <f>'[4]cashflow.'!$N$79</f>
        <v>-8843</v>
      </c>
      <c r="F70" s="102"/>
      <c r="G70" s="236">
        <f>'[8]Sheet2'!$W$94</f>
        <v>-12948</v>
      </c>
      <c r="I70" s="184">
        <v>-12132</v>
      </c>
      <c r="J70" s="21">
        <f>'CF12.09'!D91/1000</f>
        <v>-8689.334</v>
      </c>
      <c r="K70" s="184"/>
    </row>
    <row r="71" spans="2:11" s="51" customFormat="1" ht="15.75" thickBot="1">
      <c r="B71" s="12"/>
      <c r="E71" s="113">
        <f>'[4]cashflow.'!$N$80</f>
        <v>15910</v>
      </c>
      <c r="F71" s="175"/>
      <c r="G71" s="240">
        <f>SUM(G69:G70)</f>
        <v>25770.567819999997</v>
      </c>
      <c r="H71" s="112"/>
      <c r="I71" s="182">
        <f>SUM(I69:I70)</f>
        <v>36554</v>
      </c>
      <c r="J71" s="170">
        <f>'CF12.09'!D93/1000</f>
        <v>18799.989</v>
      </c>
      <c r="K71" s="184"/>
    </row>
    <row r="72" spans="7:11" s="51" customFormat="1" ht="15" thickTop="1">
      <c r="G72" s="196"/>
      <c r="H72" s="28"/>
      <c r="I72" s="28"/>
      <c r="K72" s="184"/>
    </row>
    <row r="73" spans="2:9" s="51" customFormat="1" ht="14.25" hidden="1">
      <c r="B73" s="51" t="s">
        <v>123</v>
      </c>
      <c r="E73" s="103"/>
      <c r="F73" s="103"/>
      <c r="G73" s="195"/>
      <c r="H73" s="28"/>
      <c r="I73" s="28"/>
    </row>
    <row r="74" s="51" customFormat="1" ht="12.75" customHeight="1">
      <c r="G74" s="190"/>
    </row>
    <row r="75" spans="2:7" s="51" customFormat="1" ht="16.5">
      <c r="B75" s="124" t="s">
        <v>224</v>
      </c>
      <c r="G75" s="190"/>
    </row>
    <row r="76" spans="2:7" s="51" customFormat="1" ht="16.5">
      <c r="B76" s="124" t="s">
        <v>250</v>
      </c>
      <c r="G76" s="190"/>
    </row>
    <row r="77" spans="2:7" s="51" customFormat="1" ht="16.5">
      <c r="B77" s="181" t="s">
        <v>99</v>
      </c>
      <c r="G77" s="190"/>
    </row>
  </sheetData>
  <sheetProtection/>
  <mergeCells count="6">
    <mergeCell ref="B60:B61"/>
    <mergeCell ref="B62:B63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 </cp:lastModifiedBy>
  <cp:lastPrinted>2012-08-13T06:32:11Z</cp:lastPrinted>
  <dcterms:created xsi:type="dcterms:W3CDTF">2002-11-05T00:02:16Z</dcterms:created>
  <dcterms:modified xsi:type="dcterms:W3CDTF">2012-08-13T08:18:20Z</dcterms:modified>
  <cp:category/>
  <cp:version/>
  <cp:contentType/>
  <cp:contentStatus/>
</cp:coreProperties>
</file>